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ml.chartshapes+xml"/>
  <Override PartName="/xl/drawings/drawing8.xml" ContentType="application/vnd.openxmlformats-officedocument.drawingml.chartshap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17.xml" ContentType="application/vnd.openxmlformats-officedocument.drawing+xml"/>
  <Override PartName="/xl/drawings/drawing18.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15.xml" ContentType="application/vnd.openxmlformats-officedocument.drawing+xml"/>
  <Override PartName="/xl/drawings/drawing16.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ml.chartshap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ml.chartshapes+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4415" windowHeight="12795" tabRatio="917"/>
  </bookViews>
  <sheets>
    <sheet name="ACCUEIL" sheetId="28" r:id="rId1"/>
    <sheet name="version consolidée UE" sheetId="12" r:id="rId2"/>
    <sheet name="Tab. 4 et Graphs 9 &amp; 10" sheetId="27" r:id="rId3"/>
    <sheet name="Graphique 11" sheetId="25" r:id="rId4"/>
    <sheet name="Graphique 12" sheetId="24" r:id="rId5"/>
    <sheet name="Graphiques 13 &amp; 14" sheetId="21" r:id="rId6"/>
    <sheet name="version consolidée hors UE" sheetId="13" r:id="rId7"/>
    <sheet name="Carte 3-Mappemonde" sheetId="30" r:id="rId8"/>
    <sheet name="Graphique 15" sheetId="23" r:id="rId9"/>
    <sheet name="Graphique 16" sheetId="22" r:id="rId10"/>
    <sheet name="Graphiques 17 &amp; 18" sheetId="20" r:id="rId11"/>
    <sheet name="Consolidation UE_HorsUE" sheetId="35" state="hidden" r:id="rId12"/>
  </sheets>
  <definedNames>
    <definedName name="_xlnm._FilterDatabase" localSheetId="6" hidden="1">'version consolidée hors UE'!$A$6:$AQ$199</definedName>
    <definedName name="Europe">'Graphique 11'!$B$4:$E$34</definedName>
    <definedName name="Europe_B">'Graphique 11'!$B$4:$E$34</definedName>
    <definedName name="Europe_D">'Graphique 12'!$B$4:$E$34</definedName>
    <definedName name="HorsEurope_D">'Graphique 16'!$B$4:$E$189</definedName>
    <definedName name="Maghreb">'Graphique 15'!$F$3</definedName>
    <definedName name="OrganismesB">'Tab. 4 et Graphs 9 &amp; 10'!$B$5:$P$18</definedName>
    <definedName name="OrganismesD">'Tab. 4 et Graphs 9 &amp; 10'!$B$5:$P$18</definedName>
    <definedName name="Rang_Europe">'Graphique 11'!$E$4:$E$34</definedName>
    <definedName name="Rang_Europe_B">'Graphique 11'!$E$4:$E$34</definedName>
    <definedName name="Rang_Europe_D">'Graphique 12'!$E$4:$E$34</definedName>
    <definedName name="Rang_HorsEurope_B">'Graphique 15'!$E$4:$E$158</definedName>
    <definedName name="Rang_organismesB">'Tab. 4 et Graphs 9 &amp; 10'!$N$5:$N$18</definedName>
    <definedName name="Rang_organismesD">'Tab. 4 et Graphs 9 &amp; 10'!$P$5:$P$18</definedName>
  </definedNames>
  <calcPr calcId="125725"/>
  <fileRecoveryPr autoRecover="0"/>
</workbook>
</file>

<file path=xl/calcChain.xml><?xml version="1.0" encoding="utf-8"?>
<calcChain xmlns="http://schemas.openxmlformats.org/spreadsheetml/2006/main">
  <c r="D10" i="27"/>
  <c r="C10"/>
  <c r="F30"/>
  <c r="AQ7" i="12" l="1"/>
  <c r="V8" i="21"/>
  <c r="F48" i="27"/>
  <c r="F47"/>
  <c r="L19" i="30"/>
  <c r="S23" i="21"/>
  <c r="B53"/>
  <c r="B34"/>
  <c r="B35"/>
  <c r="T13"/>
  <c r="E41" i="27" l="1"/>
  <c r="I37"/>
  <c r="V28"/>
  <c r="O10" s="1"/>
  <c r="U28"/>
  <c r="M10" s="1"/>
  <c r="N6" s="1"/>
  <c r="K56" i="12"/>
  <c r="J56"/>
  <c r="E37" i="27"/>
  <c r="E36"/>
  <c r="N37" i="12"/>
  <c r="I37"/>
  <c r="N9"/>
  <c r="J9" s="1"/>
  <c r="I9"/>
  <c r="W9" s="1"/>
  <c r="AD9" s="1"/>
  <c r="C9"/>
  <c r="F21" i="27" l="1"/>
  <c r="O21"/>
  <c r="W7" i="23"/>
  <c r="C20" i="27" l="1"/>
  <c r="C36" s="1"/>
  <c r="M7"/>
  <c r="M6"/>
  <c r="Q18"/>
  <c r="S138" i="23" l="1"/>
  <c r="U138"/>
  <c r="W138"/>
  <c r="S195" i="13"/>
  <c r="W4" i="23"/>
  <c r="Z141" i="13"/>
  <c r="AG141" s="1"/>
  <c r="AN141" s="1"/>
  <c r="C138" i="23" s="1"/>
  <c r="AB141" i="13"/>
  <c r="AC141"/>
  <c r="AD141"/>
  <c r="AE141"/>
  <c r="AF141"/>
  <c r="T141"/>
  <c r="X138" i="22" s="1"/>
  <c r="M141" i="13"/>
  <c r="U138" i="22" s="1"/>
  <c r="F141" i="13"/>
  <c r="R138" i="22" s="1"/>
  <c r="F182" i="13"/>
  <c r="F183"/>
  <c r="F184"/>
  <c r="F185"/>
  <c r="F186"/>
  <c r="F187"/>
  <c r="F188"/>
  <c r="F189"/>
  <c r="F190"/>
  <c r="F191"/>
  <c r="F192"/>
  <c r="F158"/>
  <c r="F159"/>
  <c r="F160"/>
  <c r="F161"/>
  <c r="F162"/>
  <c r="F163"/>
  <c r="F164"/>
  <c r="F165"/>
  <c r="F166"/>
  <c r="F167"/>
  <c r="F168"/>
  <c r="F169"/>
  <c r="F170"/>
  <c r="F171"/>
  <c r="F172"/>
  <c r="F173"/>
  <c r="F174"/>
  <c r="F175"/>
  <c r="F176"/>
  <c r="F177"/>
  <c r="F178"/>
  <c r="F179"/>
  <c r="F180"/>
  <c r="F181"/>
  <c r="F155"/>
  <c r="C11" i="12"/>
  <c r="Y138" i="23" l="1"/>
  <c r="V138" s="1"/>
  <c r="AA138" i="22"/>
  <c r="W138" s="1"/>
  <c r="V138" s="1"/>
  <c r="AA141" i="13"/>
  <c r="AH141" s="1"/>
  <c r="AO141" s="1"/>
  <c r="AP141" l="1"/>
  <c r="C138" i="22"/>
  <c r="X138" i="23"/>
  <c r="Z138" s="1"/>
  <c r="T138"/>
  <c r="T138" i="22"/>
  <c r="S138" s="1"/>
  <c r="Z138"/>
  <c r="Y138" s="1"/>
  <c r="F40" i="27"/>
  <c r="F39"/>
  <c r="H39" s="1"/>
  <c r="AB138" i="22" l="1"/>
  <c r="AC138"/>
  <c r="H40" i="27"/>
  <c r="W5" i="23" l="1"/>
  <c r="W6"/>
  <c r="W8"/>
  <c r="W9"/>
  <c r="W10"/>
  <c r="W11"/>
  <c r="W12"/>
  <c r="W13"/>
  <c r="W14"/>
  <c r="W15"/>
  <c r="W16"/>
  <c r="W17"/>
  <c r="W18"/>
  <c r="W19"/>
  <c r="W20"/>
  <c r="W21"/>
  <c r="W22"/>
  <c r="W23"/>
  <c r="W24"/>
  <c r="W25"/>
  <c r="W26"/>
  <c r="W27"/>
  <c r="W28"/>
  <c r="W29"/>
  <c r="W30"/>
  <c r="W31"/>
  <c r="W32"/>
  <c r="W33"/>
  <c r="W34"/>
  <c r="W35"/>
  <c r="W36"/>
  <c r="W37"/>
  <c r="W38"/>
  <c r="W39"/>
  <c r="W40"/>
  <c r="W41"/>
  <c r="W42"/>
  <c r="W43"/>
  <c r="W44"/>
  <c r="W45"/>
  <c r="W46"/>
  <c r="W47"/>
  <c r="W48"/>
  <c r="W49"/>
  <c r="W50"/>
  <c r="W51"/>
  <c r="W52"/>
  <c r="W53"/>
  <c r="W54"/>
  <c r="W55"/>
  <c r="W56"/>
  <c r="W57"/>
  <c r="W58"/>
  <c r="W59"/>
  <c r="W60"/>
  <c r="W61"/>
  <c r="W62"/>
  <c r="W63"/>
  <c r="W64"/>
  <c r="W65"/>
  <c r="W66"/>
  <c r="W67"/>
  <c r="W68"/>
  <c r="W69"/>
  <c r="W70"/>
  <c r="W71"/>
  <c r="W72"/>
  <c r="W73"/>
  <c r="W74"/>
  <c r="W75"/>
  <c r="W76"/>
  <c r="W77"/>
  <c r="W78"/>
  <c r="W79"/>
  <c r="W80"/>
  <c r="W81"/>
  <c r="W82"/>
  <c r="W83"/>
  <c r="W84"/>
  <c r="W85"/>
  <c r="W86"/>
  <c r="W87"/>
  <c r="W88"/>
  <c r="W89"/>
  <c r="W90"/>
  <c r="W91"/>
  <c r="W92"/>
  <c r="W93"/>
  <c r="W94"/>
  <c r="W95"/>
  <c r="W96"/>
  <c r="W97"/>
  <c r="W98"/>
  <c r="W99"/>
  <c r="W100"/>
  <c r="W101"/>
  <c r="W102"/>
  <c r="W103"/>
  <c r="W104"/>
  <c r="W105"/>
  <c r="W106"/>
  <c r="W107"/>
  <c r="W108"/>
  <c r="W109"/>
  <c r="W110"/>
  <c r="W111"/>
  <c r="W112"/>
  <c r="W113"/>
  <c r="W114"/>
  <c r="W115"/>
  <c r="W116"/>
  <c r="W117"/>
  <c r="W118"/>
  <c r="W119"/>
  <c r="W120"/>
  <c r="W121"/>
  <c r="W122"/>
  <c r="W123"/>
  <c r="W124"/>
  <c r="W125"/>
  <c r="W126"/>
  <c r="W127"/>
  <c r="W128"/>
  <c r="W129"/>
  <c r="W130"/>
  <c r="W131"/>
  <c r="W132"/>
  <c r="W133"/>
  <c r="W134"/>
  <c r="W135"/>
  <c r="W136"/>
  <c r="W137"/>
  <c r="W139"/>
  <c r="W140"/>
  <c r="W141"/>
  <c r="W142"/>
  <c r="W143"/>
  <c r="W144"/>
  <c r="W145"/>
  <c r="W146"/>
  <c r="W147"/>
  <c r="W148"/>
  <c r="W149"/>
  <c r="W150"/>
  <c r="W151"/>
  <c r="W152"/>
  <c r="W153"/>
  <c r="W154"/>
  <c r="W155"/>
  <c r="W156"/>
  <c r="W157"/>
  <c r="W158"/>
  <c r="W159"/>
  <c r="W160"/>
  <c r="W161"/>
  <c r="W162"/>
  <c r="W163"/>
  <c r="W164"/>
  <c r="W165"/>
  <c r="W166"/>
  <c r="W167"/>
  <c r="W168"/>
  <c r="W169"/>
  <c r="W170"/>
  <c r="W171"/>
  <c r="W172"/>
  <c r="W173"/>
  <c r="W174"/>
  <c r="W175"/>
  <c r="W176"/>
  <c r="W177"/>
  <c r="W178"/>
  <c r="W179"/>
  <c r="W180"/>
  <c r="W181"/>
  <c r="W182"/>
  <c r="W183"/>
  <c r="W184"/>
  <c r="W185"/>
  <c r="W186"/>
  <c r="W187"/>
  <c r="W188"/>
  <c r="W189"/>
  <c r="U5"/>
  <c r="U6"/>
  <c r="U7"/>
  <c r="U8"/>
  <c r="U9"/>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U116"/>
  <c r="U117"/>
  <c r="U118"/>
  <c r="U119"/>
  <c r="U120"/>
  <c r="U121"/>
  <c r="U122"/>
  <c r="U123"/>
  <c r="U124"/>
  <c r="U125"/>
  <c r="U126"/>
  <c r="U127"/>
  <c r="U128"/>
  <c r="U129"/>
  <c r="U130"/>
  <c r="U131"/>
  <c r="U132"/>
  <c r="U133"/>
  <c r="U134"/>
  <c r="U135"/>
  <c r="U136"/>
  <c r="U137"/>
  <c r="U139"/>
  <c r="U140"/>
  <c r="U141"/>
  <c r="U142"/>
  <c r="U143"/>
  <c r="U144"/>
  <c r="U145"/>
  <c r="U146"/>
  <c r="U147"/>
  <c r="U148"/>
  <c r="U149"/>
  <c r="U150"/>
  <c r="U151"/>
  <c r="U152"/>
  <c r="U153"/>
  <c r="U154"/>
  <c r="U155"/>
  <c r="U156"/>
  <c r="U157"/>
  <c r="U158"/>
  <c r="U159"/>
  <c r="U160"/>
  <c r="U161"/>
  <c r="U162"/>
  <c r="U163"/>
  <c r="U164"/>
  <c r="U165"/>
  <c r="U166"/>
  <c r="U167"/>
  <c r="U168"/>
  <c r="U169"/>
  <c r="U170"/>
  <c r="U171"/>
  <c r="U172"/>
  <c r="U173"/>
  <c r="U174"/>
  <c r="U175"/>
  <c r="U176"/>
  <c r="U177"/>
  <c r="U178"/>
  <c r="U179"/>
  <c r="U180"/>
  <c r="U181"/>
  <c r="U182"/>
  <c r="U183"/>
  <c r="U184"/>
  <c r="U185"/>
  <c r="U186"/>
  <c r="U187"/>
  <c r="U188"/>
  <c r="U189"/>
  <c r="S5"/>
  <c r="S6"/>
  <c r="S7"/>
  <c r="S8"/>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F56" i="30"/>
  <c r="F55"/>
  <c r="F49"/>
  <c r="F48"/>
  <c r="F42"/>
  <c r="F41"/>
  <c r="F35"/>
  <c r="F34"/>
  <c r="F28"/>
  <c r="F27"/>
  <c r="F21"/>
  <c r="F20"/>
  <c r="F14"/>
  <c r="F13"/>
  <c r="T48" i="13"/>
  <c r="X45" i="22" s="1"/>
  <c r="AF48" i="13"/>
  <c r="AE48"/>
  <c r="AD48"/>
  <c r="AC48"/>
  <c r="AB48"/>
  <c r="Z48"/>
  <c r="AG48" s="1"/>
  <c r="AN48" s="1"/>
  <c r="C45" i="23" s="1"/>
  <c r="M48" i="13"/>
  <c r="U45" i="22" s="1"/>
  <c r="F48" i="13"/>
  <c r="R45" i="22" s="1"/>
  <c r="Z11" i="13"/>
  <c r="AG11" s="1"/>
  <c r="AN11" s="1"/>
  <c r="C8" i="23" s="1"/>
  <c r="AB11" i="13"/>
  <c r="AC11"/>
  <c r="AD11"/>
  <c r="AE11"/>
  <c r="AF11"/>
  <c r="T11"/>
  <c r="X8" i="22" s="1"/>
  <c r="M11" i="13"/>
  <c r="U8" i="22" s="1"/>
  <c r="F11" i="13"/>
  <c r="R8" i="22" s="1"/>
  <c r="AM197" i="13"/>
  <c r="AM193"/>
  <c r="AM194"/>
  <c r="AM195"/>
  <c r="AL197"/>
  <c r="AK197"/>
  <c r="AJ197"/>
  <c r="AI197"/>
  <c r="Y197"/>
  <c r="X197"/>
  <c r="W197"/>
  <c r="V197"/>
  <c r="U197"/>
  <c r="S197"/>
  <c r="R197"/>
  <c r="Q197"/>
  <c r="P197"/>
  <c r="O197"/>
  <c r="N197"/>
  <c r="L197"/>
  <c r="K197"/>
  <c r="J197"/>
  <c r="I197"/>
  <c r="H197"/>
  <c r="G197"/>
  <c r="E197"/>
  <c r="AL195"/>
  <c r="AK195"/>
  <c r="AJ195"/>
  <c r="AI195"/>
  <c r="Y195"/>
  <c r="X195"/>
  <c r="W195"/>
  <c r="V195"/>
  <c r="U195"/>
  <c r="R195"/>
  <c r="Q195"/>
  <c r="P195"/>
  <c r="O195"/>
  <c r="N195"/>
  <c r="L195"/>
  <c r="K195"/>
  <c r="J195"/>
  <c r="I195"/>
  <c r="H195"/>
  <c r="G195"/>
  <c r="E195"/>
  <c r="AL194"/>
  <c r="AK194"/>
  <c r="AJ194"/>
  <c r="AI194"/>
  <c r="Y194"/>
  <c r="X194"/>
  <c r="W194"/>
  <c r="V194"/>
  <c r="U194"/>
  <c r="S194"/>
  <c r="R194"/>
  <c r="Q194"/>
  <c r="P194"/>
  <c r="O194"/>
  <c r="N194"/>
  <c r="L194"/>
  <c r="K194"/>
  <c r="J194"/>
  <c r="I194"/>
  <c r="H194"/>
  <c r="G194"/>
  <c r="E194"/>
  <c r="AL193"/>
  <c r="AK193"/>
  <c r="AJ193"/>
  <c r="AI193"/>
  <c r="Y193"/>
  <c r="X193"/>
  <c r="W193"/>
  <c r="V193"/>
  <c r="U193"/>
  <c r="S193"/>
  <c r="R193"/>
  <c r="Q193"/>
  <c r="P193"/>
  <c r="O193"/>
  <c r="N193"/>
  <c r="L193"/>
  <c r="H193"/>
  <c r="I193"/>
  <c r="J193"/>
  <c r="K193"/>
  <c r="G193"/>
  <c r="E193"/>
  <c r="E46" i="25"/>
  <c r="T195" i="13" l="1"/>
  <c r="G196"/>
  <c r="Y188" i="23"/>
  <c r="X188" s="1"/>
  <c r="F63" i="30"/>
  <c r="F62"/>
  <c r="Y189" i="23"/>
  <c r="V189" s="1"/>
  <c r="Y185"/>
  <c r="T185" s="1"/>
  <c r="AA45" i="22"/>
  <c r="W45" s="1"/>
  <c r="V45" s="1"/>
  <c r="AM196" i="13"/>
  <c r="X189" i="23"/>
  <c r="X185"/>
  <c r="W190"/>
  <c r="AA8" i="22"/>
  <c r="Z8" s="1"/>
  <c r="Y8" s="1"/>
  <c r="AA11" i="13"/>
  <c r="AH11" s="1"/>
  <c r="AO11" s="1"/>
  <c r="Y186" i="23"/>
  <c r="X186" s="1"/>
  <c r="Y187"/>
  <c r="X187" s="1"/>
  <c r="AA48" i="13"/>
  <c r="AH48" s="1"/>
  <c r="AO48" s="1"/>
  <c r="Y184" i="23"/>
  <c r="T184" s="1"/>
  <c r="Y145"/>
  <c r="Y90"/>
  <c r="V90" s="1"/>
  <c r="L196" i="13"/>
  <c r="T194"/>
  <c r="E196"/>
  <c r="S196"/>
  <c r="T193"/>
  <c r="T197"/>
  <c r="M193"/>
  <c r="M195"/>
  <c r="H196"/>
  <c r="I196"/>
  <c r="J196"/>
  <c r="K196"/>
  <c r="F197"/>
  <c r="F194"/>
  <c r="F195"/>
  <c r="R196"/>
  <c r="W196"/>
  <c r="AJ196"/>
  <c r="Q196"/>
  <c r="V196"/>
  <c r="AI196"/>
  <c r="P196"/>
  <c r="Y196"/>
  <c r="AL196"/>
  <c r="N18" i="20" s="1"/>
  <c r="O196" i="13"/>
  <c r="X196"/>
  <c r="AK196"/>
  <c r="M18" i="20" s="1"/>
  <c r="M23" s="1"/>
  <c r="M194" i="13"/>
  <c r="M197"/>
  <c r="Y89" i="23"/>
  <c r="V89" s="1"/>
  <c r="Y54"/>
  <c r="V54" s="1"/>
  <c r="Y50"/>
  <c r="V50" s="1"/>
  <c r="Y38"/>
  <c r="V38" s="1"/>
  <c r="Y35"/>
  <c r="Y34"/>
  <c r="N196" i="13"/>
  <c r="U196"/>
  <c r="Y52" i="23"/>
  <c r="V52" s="1"/>
  <c r="Y48"/>
  <c r="V48" s="1"/>
  <c r="F193" i="13"/>
  <c r="Y51" i="23"/>
  <c r="V51" s="1"/>
  <c r="Y43"/>
  <c r="V43" s="1"/>
  <c r="Y53"/>
  <c r="V53" s="1"/>
  <c r="Y49"/>
  <c r="V49" s="1"/>
  <c r="Y162"/>
  <c r="Y37"/>
  <c r="V37" s="1"/>
  <c r="Y17"/>
  <c r="X17" s="1"/>
  <c r="Y13"/>
  <c r="V13" s="1"/>
  <c r="Y124"/>
  <c r="V124" s="1"/>
  <c r="Y116"/>
  <c r="V116" s="1"/>
  <c r="Y104"/>
  <c r="V104" s="1"/>
  <c r="Y100"/>
  <c r="Y96"/>
  <c r="Y92"/>
  <c r="X92" s="1"/>
  <c r="Y66"/>
  <c r="V66" s="1"/>
  <c r="Y6"/>
  <c r="Y182"/>
  <c r="V182" s="1"/>
  <c r="Y161"/>
  <c r="X161" s="1"/>
  <c r="Y155"/>
  <c r="V155" s="1"/>
  <c r="Y151"/>
  <c r="V151" s="1"/>
  <c r="Y147"/>
  <c r="V147" s="1"/>
  <c r="Y144"/>
  <c r="V144" s="1"/>
  <c r="Y140"/>
  <c r="Y111"/>
  <c r="V111" s="1"/>
  <c r="Y91"/>
  <c r="V91" s="1"/>
  <c r="Y73"/>
  <c r="V73" s="1"/>
  <c r="Y65"/>
  <c r="V65" s="1"/>
  <c r="Y61"/>
  <c r="V61" s="1"/>
  <c r="Y30"/>
  <c r="Y26"/>
  <c r="X26" s="1"/>
  <c r="Y18"/>
  <c r="V18" s="1"/>
  <c r="Y183"/>
  <c r="V183" s="1"/>
  <c r="Y164"/>
  <c r="Y136"/>
  <c r="X136" s="1"/>
  <c r="Y118"/>
  <c r="V118" s="1"/>
  <c r="Y110"/>
  <c r="Y72"/>
  <c r="Y68"/>
  <c r="Y64"/>
  <c r="V64" s="1"/>
  <c r="Y60"/>
  <c r="Y141"/>
  <c r="V141" s="1"/>
  <c r="Y163"/>
  <c r="Y159"/>
  <c r="Y117"/>
  <c r="X117" s="1"/>
  <c r="Y105"/>
  <c r="V105" s="1"/>
  <c r="Y97"/>
  <c r="V97" s="1"/>
  <c r="Y75"/>
  <c r="V75" s="1"/>
  <c r="Y67"/>
  <c r="V67" s="1"/>
  <c r="Y55"/>
  <c r="V55" s="1"/>
  <c r="Y16"/>
  <c r="V16" s="1"/>
  <c r="Y12"/>
  <c r="Y36"/>
  <c r="V36" s="1"/>
  <c r="Y19"/>
  <c r="X19" s="1"/>
  <c r="Y15"/>
  <c r="Y7"/>
  <c r="V7" s="1"/>
  <c r="Y158"/>
  <c r="V158" s="1"/>
  <c r="Y120"/>
  <c r="X120" s="1"/>
  <c r="Y42"/>
  <c r="V42" s="1"/>
  <c r="Y102"/>
  <c r="V102" s="1"/>
  <c r="Y56"/>
  <c r="V56" s="1"/>
  <c r="Y33"/>
  <c r="Y29"/>
  <c r="Y25"/>
  <c r="Y99"/>
  <c r="Y98"/>
  <c r="Y71"/>
  <c r="V71" s="1"/>
  <c r="Y70"/>
  <c r="V70" s="1"/>
  <c r="Y69"/>
  <c r="V69" s="1"/>
  <c r="Y21"/>
  <c r="V21" s="1"/>
  <c r="Y5"/>
  <c r="V5" s="1"/>
  <c r="Y178"/>
  <c r="V178" s="1"/>
  <c r="Y157"/>
  <c r="V157" s="1"/>
  <c r="Y153"/>
  <c r="Y149"/>
  <c r="V149" s="1"/>
  <c r="Y122"/>
  <c r="Y160"/>
  <c r="Y44"/>
  <c r="Y11"/>
  <c r="V11" s="1"/>
  <c r="Y78"/>
  <c r="V78" s="1"/>
  <c r="Y177"/>
  <c r="Y74"/>
  <c r="Y63"/>
  <c r="Y125"/>
  <c r="V125" s="1"/>
  <c r="Y22"/>
  <c r="V22" s="1"/>
  <c r="Y139"/>
  <c r="V139" s="1"/>
  <c r="Y132"/>
  <c r="Y128"/>
  <c r="V128" s="1"/>
  <c r="Y123"/>
  <c r="Y119"/>
  <c r="V119" s="1"/>
  <c r="Y114"/>
  <c r="Y83"/>
  <c r="X83" s="1"/>
  <c r="Y79"/>
  <c r="V79" s="1"/>
  <c r="Y57"/>
  <c r="V57" s="1"/>
  <c r="Y23"/>
  <c r="V23" s="1"/>
  <c r="Y82"/>
  <c r="X82" s="1"/>
  <c r="Y166"/>
  <c r="Y156"/>
  <c r="V156" s="1"/>
  <c r="Y152"/>
  <c r="Y148"/>
  <c r="V148" s="1"/>
  <c r="Y121"/>
  <c r="Y39"/>
  <c r="Y143"/>
  <c r="Y142"/>
  <c r="Y137"/>
  <c r="Y109"/>
  <c r="Y108"/>
  <c r="Y107"/>
  <c r="Y103"/>
  <c r="Y95"/>
  <c r="Y59"/>
  <c r="V59" s="1"/>
  <c r="Y58"/>
  <c r="Y46"/>
  <c r="Y32"/>
  <c r="Y28"/>
  <c r="V28" s="1"/>
  <c r="Y24"/>
  <c r="Y20"/>
  <c r="X20" s="1"/>
  <c r="Y10"/>
  <c r="V10" s="1"/>
  <c r="Y9"/>
  <c r="Y8"/>
  <c r="Y173"/>
  <c r="V173" s="1"/>
  <c r="Y172"/>
  <c r="Y171"/>
  <c r="Y135"/>
  <c r="Y134"/>
  <c r="Y133"/>
  <c r="Y131"/>
  <c r="Y130"/>
  <c r="Y129"/>
  <c r="Y127"/>
  <c r="Y115"/>
  <c r="Y106"/>
  <c r="Y94"/>
  <c r="V94" s="1"/>
  <c r="Y88"/>
  <c r="Y87"/>
  <c r="Y86"/>
  <c r="Y77"/>
  <c r="V77" s="1"/>
  <c r="Y45"/>
  <c r="V45" s="1"/>
  <c r="Y41"/>
  <c r="Y31"/>
  <c r="Y27"/>
  <c r="V27" s="1"/>
  <c r="Y181"/>
  <c r="Y180"/>
  <c r="Y176"/>
  <c r="V176" s="1"/>
  <c r="Y170"/>
  <c r="V170" s="1"/>
  <c r="Y169"/>
  <c r="Y168"/>
  <c r="Y167"/>
  <c r="Y165"/>
  <c r="Y126"/>
  <c r="V126" s="1"/>
  <c r="Y113"/>
  <c r="Y101"/>
  <c r="V101" s="1"/>
  <c r="Y93"/>
  <c r="Y85"/>
  <c r="Y81"/>
  <c r="Y76"/>
  <c r="V76" s="1"/>
  <c r="Y62"/>
  <c r="Y40"/>
  <c r="V40" s="1"/>
  <c r="Y14"/>
  <c r="X14" s="1"/>
  <c r="Y179"/>
  <c r="Y175"/>
  <c r="Y154"/>
  <c r="Y150"/>
  <c r="Y146"/>
  <c r="Y112"/>
  <c r="V112" s="1"/>
  <c r="Y84"/>
  <c r="V84" s="1"/>
  <c r="Y80"/>
  <c r="Y47"/>
  <c r="V47" s="1"/>
  <c r="Y174"/>
  <c r="V174" s="1"/>
  <c r="Z8" i="13"/>
  <c r="AG8" s="1"/>
  <c r="AB8"/>
  <c r="AC8"/>
  <c r="AD8"/>
  <c r="AE8"/>
  <c r="AF8"/>
  <c r="Z9"/>
  <c r="AG9" s="1"/>
  <c r="AB9"/>
  <c r="AC9"/>
  <c r="AD9"/>
  <c r="AE9"/>
  <c r="AF9"/>
  <c r="Z10"/>
  <c r="AG10" s="1"/>
  <c r="AB10"/>
  <c r="AC10"/>
  <c r="AD10"/>
  <c r="AE10"/>
  <c r="AF10"/>
  <c r="Z12"/>
  <c r="AG12" s="1"/>
  <c r="AN12" s="1"/>
  <c r="C9" i="23" s="1"/>
  <c r="AB12" i="13"/>
  <c r="AC12"/>
  <c r="AD12"/>
  <c r="AE12"/>
  <c r="AF12"/>
  <c r="Z13"/>
  <c r="AG13" s="1"/>
  <c r="AB13"/>
  <c r="AC13"/>
  <c r="AD13"/>
  <c r="AE13"/>
  <c r="AF13"/>
  <c r="Z14"/>
  <c r="AG14" s="1"/>
  <c r="AN14" s="1"/>
  <c r="C11" i="23" s="1"/>
  <c r="AB14" i="13"/>
  <c r="AC14"/>
  <c r="AD14"/>
  <c r="AE14"/>
  <c r="AF14"/>
  <c r="Z15"/>
  <c r="AG15" s="1"/>
  <c r="AB15"/>
  <c r="AC15"/>
  <c r="AD15"/>
  <c r="AE15"/>
  <c r="AF15"/>
  <c r="Z16"/>
  <c r="AG16" s="1"/>
  <c r="AN16" s="1"/>
  <c r="C13" i="23" s="1"/>
  <c r="AB16" i="13"/>
  <c r="AC16"/>
  <c r="AD16"/>
  <c r="AE16"/>
  <c r="AF16"/>
  <c r="Z17"/>
  <c r="AG17" s="1"/>
  <c r="AB17"/>
  <c r="AC17"/>
  <c r="AD17"/>
  <c r="AE17"/>
  <c r="AF17"/>
  <c r="Z18"/>
  <c r="AG18" s="1"/>
  <c r="AB18"/>
  <c r="AC18"/>
  <c r="AD18"/>
  <c r="AE18"/>
  <c r="AF18"/>
  <c r="Z19"/>
  <c r="AG19" s="1"/>
  <c r="AB19"/>
  <c r="AC19"/>
  <c r="AD19"/>
  <c r="AE19"/>
  <c r="AF19"/>
  <c r="Z20"/>
  <c r="AG20" s="1"/>
  <c r="AN20" s="1"/>
  <c r="C17" i="23" s="1"/>
  <c r="AB20" i="13"/>
  <c r="AC20"/>
  <c r="AD20"/>
  <c r="AE20"/>
  <c r="AF20"/>
  <c r="Z21"/>
  <c r="AG21" s="1"/>
  <c r="AB21"/>
  <c r="AC21"/>
  <c r="AD21"/>
  <c r="AE21"/>
  <c r="AF21"/>
  <c r="Z22"/>
  <c r="AG22" s="1"/>
  <c r="AN22" s="1"/>
  <c r="C19" i="23" s="1"/>
  <c r="AB22" i="13"/>
  <c r="AC22"/>
  <c r="AD22"/>
  <c r="AE22"/>
  <c r="AF22"/>
  <c r="Z23"/>
  <c r="AG23" s="1"/>
  <c r="AB23"/>
  <c r="AC23"/>
  <c r="AD23"/>
  <c r="AE23"/>
  <c r="AF23"/>
  <c r="Z24"/>
  <c r="AG24" s="1"/>
  <c r="AN24" s="1"/>
  <c r="C21" i="23" s="1"/>
  <c r="AB24" i="13"/>
  <c r="AC24"/>
  <c r="AD24"/>
  <c r="AE24"/>
  <c r="AF24"/>
  <c r="Z25"/>
  <c r="AG25" s="1"/>
  <c r="AB25"/>
  <c r="AC25"/>
  <c r="AD25"/>
  <c r="AE25"/>
  <c r="AF25"/>
  <c r="Z26"/>
  <c r="AG26" s="1"/>
  <c r="AB26"/>
  <c r="AC26"/>
  <c r="AD26"/>
  <c r="AE26"/>
  <c r="AF26"/>
  <c r="Z27"/>
  <c r="AG27" s="1"/>
  <c r="AB27"/>
  <c r="AC27"/>
  <c r="AD27"/>
  <c r="AE27"/>
  <c r="AF27"/>
  <c r="Z28"/>
  <c r="AG28" s="1"/>
  <c r="AN28" s="1"/>
  <c r="C25" i="23" s="1"/>
  <c r="AB28" i="13"/>
  <c r="AC28"/>
  <c r="AD28"/>
  <c r="AE28"/>
  <c r="AF28"/>
  <c r="Z29"/>
  <c r="AG29" s="1"/>
  <c r="AB29"/>
  <c r="AC29"/>
  <c r="AD29"/>
  <c r="AE29"/>
  <c r="AF29"/>
  <c r="Z30"/>
  <c r="AG30" s="1"/>
  <c r="AN30" s="1"/>
  <c r="C27" i="23" s="1"/>
  <c r="AB30" i="13"/>
  <c r="AC30"/>
  <c r="AD30"/>
  <c r="AE30"/>
  <c r="AF30"/>
  <c r="Z31"/>
  <c r="AG31" s="1"/>
  <c r="AB31"/>
  <c r="AC31"/>
  <c r="AD31"/>
  <c r="AE31"/>
  <c r="AF31"/>
  <c r="Z32"/>
  <c r="AG32" s="1"/>
  <c r="AN32" s="1"/>
  <c r="C29" i="23" s="1"/>
  <c r="AB32" i="13"/>
  <c r="AC32"/>
  <c r="AD32"/>
  <c r="AE32"/>
  <c r="AF32"/>
  <c r="Z33"/>
  <c r="AG33" s="1"/>
  <c r="AB33"/>
  <c r="AC33"/>
  <c r="AD33"/>
  <c r="AE33"/>
  <c r="AF33"/>
  <c r="Z34"/>
  <c r="AG34" s="1"/>
  <c r="AB34"/>
  <c r="AC34"/>
  <c r="AD34"/>
  <c r="AE34"/>
  <c r="AF34"/>
  <c r="Z35"/>
  <c r="AG35" s="1"/>
  <c r="AB35"/>
  <c r="AC35"/>
  <c r="AD35"/>
  <c r="AE35"/>
  <c r="AF35"/>
  <c r="Z36"/>
  <c r="AG36" s="1"/>
  <c r="AN36" s="1"/>
  <c r="C33" i="23" s="1"/>
  <c r="AB36" i="13"/>
  <c r="AC36"/>
  <c r="AD36"/>
  <c r="AE36"/>
  <c r="AF36"/>
  <c r="Z37"/>
  <c r="AG37" s="1"/>
  <c r="AB37"/>
  <c r="AC37"/>
  <c r="AD37"/>
  <c r="AE37"/>
  <c r="AF37"/>
  <c r="Z38"/>
  <c r="AG38" s="1"/>
  <c r="AN38" s="1"/>
  <c r="C35" i="23" s="1"/>
  <c r="AB38" i="13"/>
  <c r="AC38"/>
  <c r="AD38"/>
  <c r="AE38"/>
  <c r="AF38"/>
  <c r="Z39"/>
  <c r="AG39" s="1"/>
  <c r="AB39"/>
  <c r="AC39"/>
  <c r="AD39"/>
  <c r="AE39"/>
  <c r="AF39"/>
  <c r="Z40"/>
  <c r="AG40" s="1"/>
  <c r="AN40" s="1"/>
  <c r="C37" i="23" s="1"/>
  <c r="AB40" i="13"/>
  <c r="AC40"/>
  <c r="AD40"/>
  <c r="AE40"/>
  <c r="AF40"/>
  <c r="Z41"/>
  <c r="AG41" s="1"/>
  <c r="AB41"/>
  <c r="AC41"/>
  <c r="AD41"/>
  <c r="AE41"/>
  <c r="AF41"/>
  <c r="Z42"/>
  <c r="AG42" s="1"/>
  <c r="AB42"/>
  <c r="AC42"/>
  <c r="AD42"/>
  <c r="AE42"/>
  <c r="AF42"/>
  <c r="Z43"/>
  <c r="AG43" s="1"/>
  <c r="AB43"/>
  <c r="AC43"/>
  <c r="AD43"/>
  <c r="AE43"/>
  <c r="AF43"/>
  <c r="Z44"/>
  <c r="AG44" s="1"/>
  <c r="AN44" s="1"/>
  <c r="C41" i="23" s="1"/>
  <c r="AB44" i="13"/>
  <c r="AC44"/>
  <c r="AD44"/>
  <c r="AE44"/>
  <c r="AF44"/>
  <c r="Z45"/>
  <c r="AG45" s="1"/>
  <c r="AB45"/>
  <c r="AC45"/>
  <c r="AD45"/>
  <c r="AE45"/>
  <c r="AF45"/>
  <c r="Z46"/>
  <c r="AG46" s="1"/>
  <c r="AN46" s="1"/>
  <c r="C43" i="23" s="1"/>
  <c r="AB46" i="13"/>
  <c r="AC46"/>
  <c r="AD46"/>
  <c r="AE46"/>
  <c r="AF46"/>
  <c r="Z47"/>
  <c r="AG47" s="1"/>
  <c r="AB47"/>
  <c r="AC47"/>
  <c r="AD47"/>
  <c r="AE47"/>
  <c r="AF47"/>
  <c r="Z49"/>
  <c r="AG49" s="1"/>
  <c r="AN49" s="1"/>
  <c r="C46" i="23" s="1"/>
  <c r="AB49" i="13"/>
  <c r="AC49"/>
  <c r="AD49"/>
  <c r="AE49"/>
  <c r="AF49"/>
  <c r="Z50"/>
  <c r="AG50" s="1"/>
  <c r="AB50"/>
  <c r="AC50"/>
  <c r="AD50"/>
  <c r="AE50"/>
  <c r="AF50"/>
  <c r="Z51"/>
  <c r="AG51" s="1"/>
  <c r="AN51" s="1"/>
  <c r="C48" i="23" s="1"/>
  <c r="AB51" i="13"/>
  <c r="AC51"/>
  <c r="AD51"/>
  <c r="AE51"/>
  <c r="AF51"/>
  <c r="Z52"/>
  <c r="AG52" s="1"/>
  <c r="AB52"/>
  <c r="AC52"/>
  <c r="AD52"/>
  <c r="AE52"/>
  <c r="AF52"/>
  <c r="Z53"/>
  <c r="AG53" s="1"/>
  <c r="AN53" s="1"/>
  <c r="C50" i="23" s="1"/>
  <c r="AB53" i="13"/>
  <c r="AC53"/>
  <c r="AD53"/>
  <c r="AE53"/>
  <c r="AF53"/>
  <c r="Z54"/>
  <c r="AG54" s="1"/>
  <c r="AB54"/>
  <c r="AC54"/>
  <c r="AD54"/>
  <c r="AE54"/>
  <c r="AF54"/>
  <c r="Z55"/>
  <c r="AG55" s="1"/>
  <c r="AB55"/>
  <c r="AC55"/>
  <c r="AD55"/>
  <c r="AE55"/>
  <c r="AF55"/>
  <c r="Z56"/>
  <c r="AG56" s="1"/>
  <c r="AB56"/>
  <c r="AC56"/>
  <c r="AD56"/>
  <c r="AE56"/>
  <c r="AF56"/>
  <c r="Z57"/>
  <c r="AG57" s="1"/>
  <c r="AN57" s="1"/>
  <c r="C54" i="23" s="1"/>
  <c r="AB57" i="13"/>
  <c r="AC57"/>
  <c r="AD57"/>
  <c r="AE57"/>
  <c r="AF57"/>
  <c r="Z58"/>
  <c r="AG58" s="1"/>
  <c r="AB58"/>
  <c r="AC58"/>
  <c r="AD58"/>
  <c r="AE58"/>
  <c r="AF58"/>
  <c r="Z59"/>
  <c r="AG59" s="1"/>
  <c r="AN59" s="1"/>
  <c r="C56" i="23" s="1"/>
  <c r="AB59" i="13"/>
  <c r="AC59"/>
  <c r="AD59"/>
  <c r="AE59"/>
  <c r="AF59"/>
  <c r="Z60"/>
  <c r="AG60" s="1"/>
  <c r="AB60"/>
  <c r="AC60"/>
  <c r="AD60"/>
  <c r="AE60"/>
  <c r="AF60"/>
  <c r="Z61"/>
  <c r="AG61" s="1"/>
  <c r="AN61" s="1"/>
  <c r="C58" i="23" s="1"/>
  <c r="AB61" i="13"/>
  <c r="AC61"/>
  <c r="AD61"/>
  <c r="AE61"/>
  <c r="AF61"/>
  <c r="Z62"/>
  <c r="AG62" s="1"/>
  <c r="AB62"/>
  <c r="AC62"/>
  <c r="AD62"/>
  <c r="AE62"/>
  <c r="AF62"/>
  <c r="Z63"/>
  <c r="AG63" s="1"/>
  <c r="AB63"/>
  <c r="AC63"/>
  <c r="AD63"/>
  <c r="AE63"/>
  <c r="AF63"/>
  <c r="Z64"/>
  <c r="AG64" s="1"/>
  <c r="AB64"/>
  <c r="AC64"/>
  <c r="AD64"/>
  <c r="AE64"/>
  <c r="AF64"/>
  <c r="Z65"/>
  <c r="AG65" s="1"/>
  <c r="AN65" s="1"/>
  <c r="C62" i="23" s="1"/>
  <c r="AB65" i="13"/>
  <c r="AC65"/>
  <c r="AD65"/>
  <c r="AE65"/>
  <c r="AF65"/>
  <c r="Z66"/>
  <c r="AG66" s="1"/>
  <c r="AB66"/>
  <c r="AC66"/>
  <c r="AD66"/>
  <c r="AE66"/>
  <c r="AF66"/>
  <c r="Z67"/>
  <c r="AG67" s="1"/>
  <c r="AN67" s="1"/>
  <c r="C64" i="23" s="1"/>
  <c r="AB67" i="13"/>
  <c r="AC67"/>
  <c r="AD67"/>
  <c r="AE67"/>
  <c r="AF67"/>
  <c r="Z68"/>
  <c r="AG68" s="1"/>
  <c r="AB68"/>
  <c r="AC68"/>
  <c r="AD68"/>
  <c r="AE68"/>
  <c r="AF68"/>
  <c r="Z69"/>
  <c r="AG69" s="1"/>
  <c r="AN69" s="1"/>
  <c r="C66" i="23" s="1"/>
  <c r="AB69" i="13"/>
  <c r="AC69"/>
  <c r="AD69"/>
  <c r="AE69"/>
  <c r="AF69"/>
  <c r="Z70"/>
  <c r="AG70" s="1"/>
  <c r="AB70"/>
  <c r="AC70"/>
  <c r="AD70"/>
  <c r="AE70"/>
  <c r="AF70"/>
  <c r="Z71"/>
  <c r="AG71" s="1"/>
  <c r="AB71"/>
  <c r="AC71"/>
  <c r="AD71"/>
  <c r="AE71"/>
  <c r="AF71"/>
  <c r="Z72"/>
  <c r="AG72" s="1"/>
  <c r="AB72"/>
  <c r="AC72"/>
  <c r="AD72"/>
  <c r="AE72"/>
  <c r="AF72"/>
  <c r="Z73"/>
  <c r="AG73" s="1"/>
  <c r="AN73" s="1"/>
  <c r="C70" i="23" s="1"/>
  <c r="AB73" i="13"/>
  <c r="AC73"/>
  <c r="AD73"/>
  <c r="AE73"/>
  <c r="AF73"/>
  <c r="Z74"/>
  <c r="AG74" s="1"/>
  <c r="AN74" s="1"/>
  <c r="C71" i="23" s="1"/>
  <c r="AB74" i="13"/>
  <c r="AC74"/>
  <c r="AD74"/>
  <c r="AE74"/>
  <c r="AF74"/>
  <c r="Z75"/>
  <c r="AG75" s="1"/>
  <c r="AN75" s="1"/>
  <c r="C72" i="23" s="1"/>
  <c r="AB75" i="13"/>
  <c r="AC75"/>
  <c r="AD75"/>
  <c r="AE75"/>
  <c r="AF75"/>
  <c r="Z76"/>
  <c r="AG76" s="1"/>
  <c r="AN76" s="1"/>
  <c r="C73" i="23" s="1"/>
  <c r="AB76" i="13"/>
  <c r="AC76"/>
  <c r="AD76"/>
  <c r="AE76"/>
  <c r="AF76"/>
  <c r="Z77"/>
  <c r="AG77" s="1"/>
  <c r="AN77" s="1"/>
  <c r="C74" i="23" s="1"/>
  <c r="AB77" i="13"/>
  <c r="AC77"/>
  <c r="AD77"/>
  <c r="AE77"/>
  <c r="AF77"/>
  <c r="Z78"/>
  <c r="AG78" s="1"/>
  <c r="AN78" s="1"/>
  <c r="C75" i="23" s="1"/>
  <c r="AB78" i="13"/>
  <c r="AC78"/>
  <c r="AD78"/>
  <c r="AE78"/>
  <c r="AF78"/>
  <c r="Z79"/>
  <c r="AG79" s="1"/>
  <c r="AN79" s="1"/>
  <c r="C76" i="23" s="1"/>
  <c r="AB79" i="13"/>
  <c r="AC79"/>
  <c r="AD79"/>
  <c r="AE79"/>
  <c r="AF79"/>
  <c r="Z80"/>
  <c r="AG80" s="1"/>
  <c r="AN80" s="1"/>
  <c r="C77" i="23" s="1"/>
  <c r="AB80" i="13"/>
  <c r="AC80"/>
  <c r="AD80"/>
  <c r="AE80"/>
  <c r="AF80"/>
  <c r="Z81"/>
  <c r="AG81" s="1"/>
  <c r="AN81" s="1"/>
  <c r="C78" i="23" s="1"/>
  <c r="AB81" i="13"/>
  <c r="AC81"/>
  <c r="AD81"/>
  <c r="AE81"/>
  <c r="AF81"/>
  <c r="Z82"/>
  <c r="AG82" s="1"/>
  <c r="AN82" s="1"/>
  <c r="C79" i="23" s="1"/>
  <c r="AB82" i="13"/>
  <c r="AC82"/>
  <c r="AD82"/>
  <c r="AE82"/>
  <c r="AF82"/>
  <c r="Z83"/>
  <c r="AG83" s="1"/>
  <c r="AN83" s="1"/>
  <c r="C80" i="23" s="1"/>
  <c r="AB83" i="13"/>
  <c r="AC83"/>
  <c r="AD83"/>
  <c r="AE83"/>
  <c r="AF83"/>
  <c r="Z84"/>
  <c r="AG84" s="1"/>
  <c r="AN84" s="1"/>
  <c r="C81" i="23" s="1"/>
  <c r="AB84" i="13"/>
  <c r="AC84"/>
  <c r="AD84"/>
  <c r="AE84"/>
  <c r="AF84"/>
  <c r="Z85"/>
  <c r="AG85" s="1"/>
  <c r="AN85" s="1"/>
  <c r="C82" i="23" s="1"/>
  <c r="AB85" i="13"/>
  <c r="AC85"/>
  <c r="AD85"/>
  <c r="AE85"/>
  <c r="AF85"/>
  <c r="Z86"/>
  <c r="AG86" s="1"/>
  <c r="AN86" s="1"/>
  <c r="C83" i="23" s="1"/>
  <c r="AB86" i="13"/>
  <c r="AC86"/>
  <c r="AD86"/>
  <c r="AE86"/>
  <c r="AF86"/>
  <c r="Z87"/>
  <c r="AG87" s="1"/>
  <c r="AN87" s="1"/>
  <c r="C84" i="23" s="1"/>
  <c r="AB87" i="13"/>
  <c r="AC87"/>
  <c r="AD87"/>
  <c r="AE87"/>
  <c r="AF87"/>
  <c r="Z88"/>
  <c r="AG88" s="1"/>
  <c r="AN88" s="1"/>
  <c r="C85" i="23" s="1"/>
  <c r="AB88" i="13"/>
  <c r="AC88"/>
  <c r="AD88"/>
  <c r="AE88"/>
  <c r="AF88"/>
  <c r="Z89"/>
  <c r="AG89" s="1"/>
  <c r="AN89" s="1"/>
  <c r="C86" i="23" s="1"/>
  <c r="AB89" i="13"/>
  <c r="AC89"/>
  <c r="AD89"/>
  <c r="AE89"/>
  <c r="AF89"/>
  <c r="Z90"/>
  <c r="AG90" s="1"/>
  <c r="AN90" s="1"/>
  <c r="C87" i="23" s="1"/>
  <c r="AB90" i="13"/>
  <c r="AC90"/>
  <c r="AD90"/>
  <c r="AE90"/>
  <c r="AF90"/>
  <c r="Z91"/>
  <c r="AG91" s="1"/>
  <c r="AN91" s="1"/>
  <c r="C88" i="23" s="1"/>
  <c r="AB91" i="13"/>
  <c r="AC91"/>
  <c r="AD91"/>
  <c r="AE91"/>
  <c r="AF91"/>
  <c r="Z92"/>
  <c r="AG92" s="1"/>
  <c r="AN92" s="1"/>
  <c r="C89" i="23" s="1"/>
  <c r="AB92" i="13"/>
  <c r="AC92"/>
  <c r="AD92"/>
  <c r="AE92"/>
  <c r="AF92"/>
  <c r="Z93"/>
  <c r="AG93" s="1"/>
  <c r="AN93" s="1"/>
  <c r="C90" i="23" s="1"/>
  <c r="AB93" i="13"/>
  <c r="AC93"/>
  <c r="AD93"/>
  <c r="AE93"/>
  <c r="AF93"/>
  <c r="Z94"/>
  <c r="AG94" s="1"/>
  <c r="AN94" s="1"/>
  <c r="C91" i="23" s="1"/>
  <c r="AB94" i="13"/>
  <c r="AC94"/>
  <c r="AD94"/>
  <c r="AE94"/>
  <c r="AF94"/>
  <c r="Z95"/>
  <c r="AG95" s="1"/>
  <c r="AN95" s="1"/>
  <c r="C92" i="23" s="1"/>
  <c r="AB95" i="13"/>
  <c r="AC95"/>
  <c r="AD95"/>
  <c r="AE95"/>
  <c r="AF95"/>
  <c r="Z96"/>
  <c r="AG96" s="1"/>
  <c r="AN96" s="1"/>
  <c r="C93" i="23" s="1"/>
  <c r="AB96" i="13"/>
  <c r="AC96"/>
  <c r="AD96"/>
  <c r="AE96"/>
  <c r="AF96"/>
  <c r="Z97"/>
  <c r="AG97" s="1"/>
  <c r="AN97" s="1"/>
  <c r="C94" i="23" s="1"/>
  <c r="AB97" i="13"/>
  <c r="AC97"/>
  <c r="AD97"/>
  <c r="AE97"/>
  <c r="AF97"/>
  <c r="Z98"/>
  <c r="AG98" s="1"/>
  <c r="AN98" s="1"/>
  <c r="C95" i="23" s="1"/>
  <c r="AB98" i="13"/>
  <c r="AC98"/>
  <c r="AD98"/>
  <c r="AE98"/>
  <c r="AF98"/>
  <c r="Z99"/>
  <c r="AG99" s="1"/>
  <c r="AN99" s="1"/>
  <c r="C96" i="23" s="1"/>
  <c r="AB99" i="13"/>
  <c r="AC99"/>
  <c r="AD99"/>
  <c r="AE99"/>
  <c r="AF99"/>
  <c r="Z100"/>
  <c r="AG100" s="1"/>
  <c r="AN100" s="1"/>
  <c r="C97" i="23" s="1"/>
  <c r="AB100" i="13"/>
  <c r="AC100"/>
  <c r="AD100"/>
  <c r="AE100"/>
  <c r="AF100"/>
  <c r="Z101"/>
  <c r="AG101" s="1"/>
  <c r="AN101" s="1"/>
  <c r="C98" i="23" s="1"/>
  <c r="AB101" i="13"/>
  <c r="AC101"/>
  <c r="AD101"/>
  <c r="AE101"/>
  <c r="AF101"/>
  <c r="Z102"/>
  <c r="AG102" s="1"/>
  <c r="AN102" s="1"/>
  <c r="C99" i="23" s="1"/>
  <c r="AB102" i="13"/>
  <c r="AC102"/>
  <c r="AD102"/>
  <c r="AE102"/>
  <c r="AF102"/>
  <c r="Z103"/>
  <c r="AG103" s="1"/>
  <c r="AN103" s="1"/>
  <c r="C100" i="23" s="1"/>
  <c r="AB103" i="13"/>
  <c r="AC103"/>
  <c r="AD103"/>
  <c r="AE103"/>
  <c r="AF103"/>
  <c r="Z104"/>
  <c r="AG104" s="1"/>
  <c r="AN104" s="1"/>
  <c r="C101" i="23" s="1"/>
  <c r="AB104" i="13"/>
  <c r="AC104"/>
  <c r="AD104"/>
  <c r="AE104"/>
  <c r="AF104"/>
  <c r="Z105"/>
  <c r="AG105" s="1"/>
  <c r="AN105" s="1"/>
  <c r="C102" i="23" s="1"/>
  <c r="AB105" i="13"/>
  <c r="AC105"/>
  <c r="AD105"/>
  <c r="AE105"/>
  <c r="AF105"/>
  <c r="Z106"/>
  <c r="AG106" s="1"/>
  <c r="AN106" s="1"/>
  <c r="C103" i="23" s="1"/>
  <c r="AB106" i="13"/>
  <c r="AC106"/>
  <c r="AD106"/>
  <c r="AE106"/>
  <c r="AF106"/>
  <c r="Z107"/>
  <c r="AG107" s="1"/>
  <c r="AN107" s="1"/>
  <c r="C104" i="23" s="1"/>
  <c r="AB107" i="13"/>
  <c r="AC107"/>
  <c r="AD107"/>
  <c r="AE107"/>
  <c r="AF107"/>
  <c r="Z108"/>
  <c r="AG108" s="1"/>
  <c r="AN108" s="1"/>
  <c r="C105" i="23" s="1"/>
  <c r="AB108" i="13"/>
  <c r="AC108"/>
  <c r="AD108"/>
  <c r="AE108"/>
  <c r="AF108"/>
  <c r="Z109"/>
  <c r="AG109" s="1"/>
  <c r="AN109" s="1"/>
  <c r="C106" i="23" s="1"/>
  <c r="AB109" i="13"/>
  <c r="AC109"/>
  <c r="AD109"/>
  <c r="AE109"/>
  <c r="AF109"/>
  <c r="Z110"/>
  <c r="AG110" s="1"/>
  <c r="AN110" s="1"/>
  <c r="C107" i="23" s="1"/>
  <c r="AB110" i="13"/>
  <c r="AC110"/>
  <c r="AD110"/>
  <c r="AE110"/>
  <c r="AF110"/>
  <c r="Z111"/>
  <c r="AG111" s="1"/>
  <c r="AN111" s="1"/>
  <c r="C108" i="23" s="1"/>
  <c r="AB111" i="13"/>
  <c r="AC111"/>
  <c r="AD111"/>
  <c r="AE111"/>
  <c r="AF111"/>
  <c r="Z112"/>
  <c r="AG112" s="1"/>
  <c r="AN112" s="1"/>
  <c r="C109" i="23" s="1"/>
  <c r="AB112" i="13"/>
  <c r="AC112"/>
  <c r="AD112"/>
  <c r="AE112"/>
  <c r="AF112"/>
  <c r="Z113"/>
  <c r="AG113" s="1"/>
  <c r="AN113" s="1"/>
  <c r="C110" i="23" s="1"/>
  <c r="AB113" i="13"/>
  <c r="AC113"/>
  <c r="AD113"/>
  <c r="AE113"/>
  <c r="AF113"/>
  <c r="Z114"/>
  <c r="AG114" s="1"/>
  <c r="AN114" s="1"/>
  <c r="C111" i="23" s="1"/>
  <c r="AB114" i="13"/>
  <c r="AC114"/>
  <c r="AD114"/>
  <c r="AE114"/>
  <c r="AF114"/>
  <c r="Z115"/>
  <c r="AG115" s="1"/>
  <c r="AN115" s="1"/>
  <c r="C112" i="23" s="1"/>
  <c r="AB115" i="13"/>
  <c r="AC115"/>
  <c r="AD115"/>
  <c r="AE115"/>
  <c r="AF115"/>
  <c r="Z116"/>
  <c r="AG116" s="1"/>
  <c r="AN116" s="1"/>
  <c r="C113" i="23" s="1"/>
  <c r="AB116" i="13"/>
  <c r="AC116"/>
  <c r="AD116"/>
  <c r="AE116"/>
  <c r="AF116"/>
  <c r="Z117"/>
  <c r="AB117"/>
  <c r="AC117"/>
  <c r="AD117"/>
  <c r="AE117"/>
  <c r="AF117"/>
  <c r="Z118"/>
  <c r="AG118" s="1"/>
  <c r="AN118" s="1"/>
  <c r="C115" i="23" s="1"/>
  <c r="AB118" i="13"/>
  <c r="AC118"/>
  <c r="AD118"/>
  <c r="AE118"/>
  <c r="AF118"/>
  <c r="Z119"/>
  <c r="AG119" s="1"/>
  <c r="AN119" s="1"/>
  <c r="C116" i="23" s="1"/>
  <c r="AB119" i="13"/>
  <c r="AC119"/>
  <c r="AD119"/>
  <c r="AE119"/>
  <c r="AF119"/>
  <c r="Z120"/>
  <c r="AG120" s="1"/>
  <c r="AN120" s="1"/>
  <c r="C117" i="23" s="1"/>
  <c r="AB120" i="13"/>
  <c r="AC120"/>
  <c r="AD120"/>
  <c r="AE120"/>
  <c r="AF120"/>
  <c r="Z121"/>
  <c r="AG121" s="1"/>
  <c r="AN121" s="1"/>
  <c r="C118" i="23" s="1"/>
  <c r="AB121" i="13"/>
  <c r="AC121"/>
  <c r="AD121"/>
  <c r="AE121"/>
  <c r="AF121"/>
  <c r="Z122"/>
  <c r="AG122" s="1"/>
  <c r="AN122" s="1"/>
  <c r="C119" i="23" s="1"/>
  <c r="AB122" i="13"/>
  <c r="AC122"/>
  <c r="AD122"/>
  <c r="AE122"/>
  <c r="AF122"/>
  <c r="Z123"/>
  <c r="AG123" s="1"/>
  <c r="AN123" s="1"/>
  <c r="C120" i="23" s="1"/>
  <c r="AB123" i="13"/>
  <c r="AC123"/>
  <c r="AD123"/>
  <c r="AE123"/>
  <c r="AF123"/>
  <c r="Z124"/>
  <c r="AG124" s="1"/>
  <c r="AN124" s="1"/>
  <c r="C121" i="23" s="1"/>
  <c r="AB124" i="13"/>
  <c r="AC124"/>
  <c r="AD124"/>
  <c r="AE124"/>
  <c r="AF124"/>
  <c r="Z125"/>
  <c r="AG125" s="1"/>
  <c r="AN125" s="1"/>
  <c r="C122" i="23" s="1"/>
  <c r="AB125" i="13"/>
  <c r="AC125"/>
  <c r="AD125"/>
  <c r="AE125"/>
  <c r="AF125"/>
  <c r="Z126"/>
  <c r="AG126" s="1"/>
  <c r="AN126" s="1"/>
  <c r="C123" i="23" s="1"/>
  <c r="AB126" i="13"/>
  <c r="AC126"/>
  <c r="AD126"/>
  <c r="AE126"/>
  <c r="AF126"/>
  <c r="Z127"/>
  <c r="AG127" s="1"/>
  <c r="AN127" s="1"/>
  <c r="C124" i="23" s="1"/>
  <c r="AB127" i="13"/>
  <c r="AC127"/>
  <c r="AD127"/>
  <c r="AE127"/>
  <c r="AF127"/>
  <c r="Z128"/>
  <c r="AG128" s="1"/>
  <c r="AN128" s="1"/>
  <c r="C125" i="23" s="1"/>
  <c r="AB128" i="13"/>
  <c r="AC128"/>
  <c r="AD128"/>
  <c r="AE128"/>
  <c r="AF128"/>
  <c r="Z129"/>
  <c r="AG129" s="1"/>
  <c r="AN129" s="1"/>
  <c r="C126" i="23" s="1"/>
  <c r="AB129" i="13"/>
  <c r="AC129"/>
  <c r="AD129"/>
  <c r="AE129"/>
  <c r="AF129"/>
  <c r="Z130"/>
  <c r="AG130" s="1"/>
  <c r="AN130" s="1"/>
  <c r="C127" i="23" s="1"/>
  <c r="AB130" i="13"/>
  <c r="AC130"/>
  <c r="AD130"/>
  <c r="AE130"/>
  <c r="AF130"/>
  <c r="Z131"/>
  <c r="AG131" s="1"/>
  <c r="AN131" s="1"/>
  <c r="C128" i="23" s="1"/>
  <c r="AB131" i="13"/>
  <c r="AC131"/>
  <c r="AD131"/>
  <c r="AE131"/>
  <c r="AF131"/>
  <c r="Z132"/>
  <c r="AG132" s="1"/>
  <c r="AN132" s="1"/>
  <c r="C129" i="23" s="1"/>
  <c r="AB132" i="13"/>
  <c r="AC132"/>
  <c r="AD132"/>
  <c r="AE132"/>
  <c r="AF132"/>
  <c r="Z133"/>
  <c r="AG133" s="1"/>
  <c r="AN133" s="1"/>
  <c r="C130" i="23" s="1"/>
  <c r="AB133" i="13"/>
  <c r="AC133"/>
  <c r="AD133"/>
  <c r="AE133"/>
  <c r="AF133"/>
  <c r="Z134"/>
  <c r="AG134" s="1"/>
  <c r="AN134" s="1"/>
  <c r="C131" i="23" s="1"/>
  <c r="AB134" i="13"/>
  <c r="AC134"/>
  <c r="AD134"/>
  <c r="AE134"/>
  <c r="AF134"/>
  <c r="Z135"/>
  <c r="AG135" s="1"/>
  <c r="AN135" s="1"/>
  <c r="C132" i="23" s="1"/>
  <c r="AB135" i="13"/>
  <c r="AC135"/>
  <c r="AD135"/>
  <c r="AE135"/>
  <c r="AF135"/>
  <c r="Z136"/>
  <c r="AG136" s="1"/>
  <c r="AN136" s="1"/>
  <c r="C133" i="23" s="1"/>
  <c r="AB136" i="13"/>
  <c r="AC136"/>
  <c r="AD136"/>
  <c r="AE136"/>
  <c r="AF136"/>
  <c r="Z137"/>
  <c r="AG137" s="1"/>
  <c r="AN137" s="1"/>
  <c r="C134" i="23" s="1"/>
  <c r="AB137" i="13"/>
  <c r="AC137"/>
  <c r="AD137"/>
  <c r="AE137"/>
  <c r="AF137"/>
  <c r="Z138"/>
  <c r="AG138" s="1"/>
  <c r="AN138" s="1"/>
  <c r="C135" i="23" s="1"/>
  <c r="AB138" i="13"/>
  <c r="AC138"/>
  <c r="AD138"/>
  <c r="AE138"/>
  <c r="AF138"/>
  <c r="Z139"/>
  <c r="AG139" s="1"/>
  <c r="AN139" s="1"/>
  <c r="C136" i="23" s="1"/>
  <c r="AB139" i="13"/>
  <c r="AC139"/>
  <c r="AD139"/>
  <c r="AE139"/>
  <c r="AF139"/>
  <c r="Z140"/>
  <c r="AB140"/>
  <c r="AC140"/>
  <c r="AD140"/>
  <c r="AE140"/>
  <c r="AF140"/>
  <c r="Z142"/>
  <c r="AG142" s="1"/>
  <c r="AN142" s="1"/>
  <c r="C139" i="23" s="1"/>
  <c r="AB142" i="13"/>
  <c r="AC142"/>
  <c r="AD142"/>
  <c r="AE142"/>
  <c r="AF142"/>
  <c r="Z143"/>
  <c r="AG143" s="1"/>
  <c r="AN143" s="1"/>
  <c r="C140" i="23" s="1"/>
  <c r="AB143" i="13"/>
  <c r="AC143"/>
  <c r="AD143"/>
  <c r="AE143"/>
  <c r="AF143"/>
  <c r="Z144"/>
  <c r="AG144" s="1"/>
  <c r="AN144" s="1"/>
  <c r="C141" i="23" s="1"/>
  <c r="AB144" i="13"/>
  <c r="AC144"/>
  <c r="AD144"/>
  <c r="AE144"/>
  <c r="AF144"/>
  <c r="Z145"/>
  <c r="AG145" s="1"/>
  <c r="AN145" s="1"/>
  <c r="C142" i="23" s="1"/>
  <c r="AB145" i="13"/>
  <c r="AC145"/>
  <c r="AD145"/>
  <c r="AE145"/>
  <c r="AF145"/>
  <c r="Z146"/>
  <c r="AG146" s="1"/>
  <c r="AN146" s="1"/>
  <c r="C143" i="23" s="1"/>
  <c r="AB146" i="13"/>
  <c r="AC146"/>
  <c r="AD146"/>
  <c r="AE146"/>
  <c r="AF146"/>
  <c r="Z147"/>
  <c r="AG147" s="1"/>
  <c r="AN147" s="1"/>
  <c r="C144" i="23" s="1"/>
  <c r="AB147" i="13"/>
  <c r="AC147"/>
  <c r="AD147"/>
  <c r="AE147"/>
  <c r="AF147"/>
  <c r="Z148"/>
  <c r="AG148" s="1"/>
  <c r="AN148" s="1"/>
  <c r="C145" i="23" s="1"/>
  <c r="AB148" i="13"/>
  <c r="AC148"/>
  <c r="AD148"/>
  <c r="AE148"/>
  <c r="AF148"/>
  <c r="Z149"/>
  <c r="AG149" s="1"/>
  <c r="AN149" s="1"/>
  <c r="C146" i="23" s="1"/>
  <c r="AB149" i="13"/>
  <c r="AC149"/>
  <c r="AD149"/>
  <c r="AE149"/>
  <c r="AF149"/>
  <c r="Z150"/>
  <c r="AG150" s="1"/>
  <c r="AN150" s="1"/>
  <c r="C147" i="23" s="1"/>
  <c r="AB150" i="13"/>
  <c r="AC150"/>
  <c r="AD150"/>
  <c r="AE150"/>
  <c r="AF150"/>
  <c r="Z151"/>
  <c r="AG151" s="1"/>
  <c r="AN151" s="1"/>
  <c r="C148" i="23" s="1"/>
  <c r="AB151" i="13"/>
  <c r="AC151"/>
  <c r="AD151"/>
  <c r="AE151"/>
  <c r="AF151"/>
  <c r="Z152"/>
  <c r="AG152" s="1"/>
  <c r="AN152" s="1"/>
  <c r="C149" i="23" s="1"/>
  <c r="AB152" i="13"/>
  <c r="AC152"/>
  <c r="AD152"/>
  <c r="AE152"/>
  <c r="AF152"/>
  <c r="Z153"/>
  <c r="AG153" s="1"/>
  <c r="AN153" s="1"/>
  <c r="C150" i="23" s="1"/>
  <c r="AB153" i="13"/>
  <c r="AC153"/>
  <c r="AD153"/>
  <c r="AE153"/>
  <c r="AF153"/>
  <c r="Z154"/>
  <c r="AG154" s="1"/>
  <c r="AN154" s="1"/>
  <c r="C151" i="23" s="1"/>
  <c r="AB154" i="13"/>
  <c r="AC154"/>
  <c r="AD154"/>
  <c r="AE154"/>
  <c r="AF154"/>
  <c r="Z155"/>
  <c r="AG155" s="1"/>
  <c r="AN155" s="1"/>
  <c r="C152" i="23" s="1"/>
  <c r="AB155" i="13"/>
  <c r="AC155"/>
  <c r="AD155"/>
  <c r="AE155"/>
  <c r="AF155"/>
  <c r="Z156"/>
  <c r="AG156" s="1"/>
  <c r="AN156" s="1"/>
  <c r="C153" i="23" s="1"/>
  <c r="AB156" i="13"/>
  <c r="AC156"/>
  <c r="AD156"/>
  <c r="AE156"/>
  <c r="AF156"/>
  <c r="Z157"/>
  <c r="AG157" s="1"/>
  <c r="AN157" s="1"/>
  <c r="C154" i="23" s="1"/>
  <c r="AB157" i="13"/>
  <c r="AC157"/>
  <c r="AD157"/>
  <c r="AE157"/>
  <c r="AF157"/>
  <c r="Z158"/>
  <c r="AG158" s="1"/>
  <c r="AN158" s="1"/>
  <c r="C155" i="23" s="1"/>
  <c r="AB158" i="13"/>
  <c r="AC158"/>
  <c r="AD158"/>
  <c r="AE158"/>
  <c r="AF158"/>
  <c r="Z159"/>
  <c r="AG159" s="1"/>
  <c r="AN159" s="1"/>
  <c r="C156" i="23" s="1"/>
  <c r="AB159" i="13"/>
  <c r="AC159"/>
  <c r="AD159"/>
  <c r="AE159"/>
  <c r="AF159"/>
  <c r="Z160"/>
  <c r="AG160" s="1"/>
  <c r="AN160" s="1"/>
  <c r="C157" i="23" s="1"/>
  <c r="AB160" i="13"/>
  <c r="AC160"/>
  <c r="AD160"/>
  <c r="AE160"/>
  <c r="AF160"/>
  <c r="Z161"/>
  <c r="AG161" s="1"/>
  <c r="AN161" s="1"/>
  <c r="C158" i="23" s="1"/>
  <c r="AB161" i="13"/>
  <c r="AC161"/>
  <c r="AD161"/>
  <c r="AE161"/>
  <c r="AF161"/>
  <c r="Z162"/>
  <c r="AG162" s="1"/>
  <c r="AN162" s="1"/>
  <c r="C159" i="23" s="1"/>
  <c r="AB162" i="13"/>
  <c r="AC162"/>
  <c r="AD162"/>
  <c r="AE162"/>
  <c r="AF162"/>
  <c r="Z163"/>
  <c r="AG163" s="1"/>
  <c r="AN163" s="1"/>
  <c r="C160" i="23" s="1"/>
  <c r="AB163" i="13"/>
  <c r="AC163"/>
  <c r="AD163"/>
  <c r="AE163"/>
  <c r="AF163"/>
  <c r="Z164"/>
  <c r="AG164" s="1"/>
  <c r="AN164" s="1"/>
  <c r="C161" i="23" s="1"/>
  <c r="AB164" i="13"/>
  <c r="AC164"/>
  <c r="AD164"/>
  <c r="AE164"/>
  <c r="AF164"/>
  <c r="Z165"/>
  <c r="AG165" s="1"/>
  <c r="AN165" s="1"/>
  <c r="C162" i="23" s="1"/>
  <c r="AB165" i="13"/>
  <c r="AC165"/>
  <c r="AD165"/>
  <c r="AE165"/>
  <c r="AF165"/>
  <c r="Z166"/>
  <c r="AG166" s="1"/>
  <c r="AN166" s="1"/>
  <c r="C163" i="23" s="1"/>
  <c r="AB166" i="13"/>
  <c r="AC166"/>
  <c r="AD166"/>
  <c r="AE166"/>
  <c r="AF166"/>
  <c r="Z167"/>
  <c r="AG167" s="1"/>
  <c r="AN167" s="1"/>
  <c r="C164" i="23" s="1"/>
  <c r="AB167" i="13"/>
  <c r="AC167"/>
  <c r="AD167"/>
  <c r="AE167"/>
  <c r="AF167"/>
  <c r="Z168"/>
  <c r="AG168" s="1"/>
  <c r="AN168" s="1"/>
  <c r="C165" i="23" s="1"/>
  <c r="AB168" i="13"/>
  <c r="AC168"/>
  <c r="AD168"/>
  <c r="AE168"/>
  <c r="AF168"/>
  <c r="Z169"/>
  <c r="AG169" s="1"/>
  <c r="AN169" s="1"/>
  <c r="C166" i="23" s="1"/>
  <c r="AB169" i="13"/>
  <c r="AC169"/>
  <c r="AD169"/>
  <c r="AE169"/>
  <c r="AF169"/>
  <c r="Z170"/>
  <c r="AG170" s="1"/>
  <c r="AN170" s="1"/>
  <c r="C167" i="23" s="1"/>
  <c r="AB170" i="13"/>
  <c r="AC170"/>
  <c r="AD170"/>
  <c r="AE170"/>
  <c r="AF170"/>
  <c r="Z171"/>
  <c r="AG171" s="1"/>
  <c r="AN171" s="1"/>
  <c r="C168" i="23" s="1"/>
  <c r="AB171" i="13"/>
  <c r="AC171"/>
  <c r="AD171"/>
  <c r="AE171"/>
  <c r="AF171"/>
  <c r="Z172"/>
  <c r="AG172" s="1"/>
  <c r="AN172" s="1"/>
  <c r="C169" i="23" s="1"/>
  <c r="AB172" i="13"/>
  <c r="AC172"/>
  <c r="AD172"/>
  <c r="AE172"/>
  <c r="AF172"/>
  <c r="Z173"/>
  <c r="AG173" s="1"/>
  <c r="AN173" s="1"/>
  <c r="C170" i="23" s="1"/>
  <c r="AB173" i="13"/>
  <c r="AC173"/>
  <c r="AD173"/>
  <c r="AE173"/>
  <c r="AF173"/>
  <c r="Z174"/>
  <c r="AG174" s="1"/>
  <c r="AN174" s="1"/>
  <c r="C171" i="23" s="1"/>
  <c r="AB174" i="13"/>
  <c r="AC174"/>
  <c r="AD174"/>
  <c r="AE174"/>
  <c r="AF174"/>
  <c r="Z175"/>
  <c r="AG175" s="1"/>
  <c r="AN175" s="1"/>
  <c r="C172" i="23" s="1"/>
  <c r="AB175" i="13"/>
  <c r="AC175"/>
  <c r="AD175"/>
  <c r="AE175"/>
  <c r="AF175"/>
  <c r="Z176"/>
  <c r="AG176" s="1"/>
  <c r="AN176" s="1"/>
  <c r="C173" i="23" s="1"/>
  <c r="AB176" i="13"/>
  <c r="AC176"/>
  <c r="AD176"/>
  <c r="AE176"/>
  <c r="AF176"/>
  <c r="Z177"/>
  <c r="AG177" s="1"/>
  <c r="AN177" s="1"/>
  <c r="C174" i="23" s="1"/>
  <c r="AB177" i="13"/>
  <c r="AC177"/>
  <c r="AD177"/>
  <c r="AE177"/>
  <c r="AF177"/>
  <c r="Z178"/>
  <c r="AG178" s="1"/>
  <c r="AN178" s="1"/>
  <c r="C175" i="23" s="1"/>
  <c r="AB178" i="13"/>
  <c r="AC178"/>
  <c r="AD178"/>
  <c r="AE178"/>
  <c r="AF178"/>
  <c r="Z179"/>
  <c r="AG179" s="1"/>
  <c r="AN179" s="1"/>
  <c r="C176" i="23" s="1"/>
  <c r="AB179" i="13"/>
  <c r="AC179"/>
  <c r="AD179"/>
  <c r="AE179"/>
  <c r="AF179"/>
  <c r="Z180"/>
  <c r="AG180" s="1"/>
  <c r="AN180" s="1"/>
  <c r="C177" i="23" s="1"/>
  <c r="AB180" i="13"/>
  <c r="AC180"/>
  <c r="AD180"/>
  <c r="AE180"/>
  <c r="AF180"/>
  <c r="Z181"/>
  <c r="AG181" s="1"/>
  <c r="AN181" s="1"/>
  <c r="C178" i="23" s="1"/>
  <c r="AB181" i="13"/>
  <c r="AC181"/>
  <c r="AD181"/>
  <c r="AE181"/>
  <c r="AF181"/>
  <c r="Z182"/>
  <c r="AG182" s="1"/>
  <c r="AN182" s="1"/>
  <c r="C179" i="23" s="1"/>
  <c r="AB182" i="13"/>
  <c r="AC182"/>
  <c r="AD182"/>
  <c r="AE182"/>
  <c r="AF182"/>
  <c r="Z183"/>
  <c r="AG183" s="1"/>
  <c r="AN183" s="1"/>
  <c r="C180" i="23" s="1"/>
  <c r="AB183" i="13"/>
  <c r="AC183"/>
  <c r="AD183"/>
  <c r="AE183"/>
  <c r="AF183"/>
  <c r="Z184"/>
  <c r="AG184" s="1"/>
  <c r="AN184" s="1"/>
  <c r="C181" i="23" s="1"/>
  <c r="AB184" i="13"/>
  <c r="AC184"/>
  <c r="AD184"/>
  <c r="AE184"/>
  <c r="AF184"/>
  <c r="Z185"/>
  <c r="AG185" s="1"/>
  <c r="AN185" s="1"/>
  <c r="C182" i="23" s="1"/>
  <c r="AB185" i="13"/>
  <c r="AC185"/>
  <c r="AD185"/>
  <c r="AE185"/>
  <c r="AF185"/>
  <c r="Z186"/>
  <c r="AG186" s="1"/>
  <c r="AN186" s="1"/>
  <c r="C183" i="23" s="1"/>
  <c r="AB186" i="13"/>
  <c r="AC186"/>
  <c r="AD186"/>
  <c r="AE186"/>
  <c r="AF186"/>
  <c r="Z187"/>
  <c r="AG187" s="1"/>
  <c r="AN187" s="1"/>
  <c r="C184" i="23" s="1"/>
  <c r="AB187" i="13"/>
  <c r="AC187"/>
  <c r="AD187"/>
  <c r="AE187"/>
  <c r="AF187"/>
  <c r="Z188"/>
  <c r="AG188" s="1"/>
  <c r="AN188" s="1"/>
  <c r="C185" i="23" s="1"/>
  <c r="AB188" i="13"/>
  <c r="AC188"/>
  <c r="AD188"/>
  <c r="AE188"/>
  <c r="AF188"/>
  <c r="Z189"/>
  <c r="AG189" s="1"/>
  <c r="AN189" s="1"/>
  <c r="C186" i="23" s="1"/>
  <c r="AB189" i="13"/>
  <c r="AC189"/>
  <c r="AD189"/>
  <c r="AE189"/>
  <c r="AF189"/>
  <c r="Z190"/>
  <c r="AG190" s="1"/>
  <c r="AN190" s="1"/>
  <c r="C187" i="23" s="1"/>
  <c r="AB190" i="13"/>
  <c r="AC190"/>
  <c r="AD190"/>
  <c r="AE190"/>
  <c r="AF190"/>
  <c r="Z191"/>
  <c r="AG191" s="1"/>
  <c r="AN191" s="1"/>
  <c r="C188" i="23" s="1"/>
  <c r="AB191" i="13"/>
  <c r="AC191"/>
  <c r="AD191"/>
  <c r="AE191"/>
  <c r="AF191"/>
  <c r="Z192"/>
  <c r="AB192"/>
  <c r="AC192"/>
  <c r="AD192"/>
  <c r="AE192"/>
  <c r="AF192"/>
  <c r="T8"/>
  <c r="X5" i="22" s="1"/>
  <c r="T9" i="13"/>
  <c r="X6" i="22" s="1"/>
  <c r="T10" i="13"/>
  <c r="X7" i="22" s="1"/>
  <c r="T12" i="13"/>
  <c r="X9" i="22" s="1"/>
  <c r="T13" i="13"/>
  <c r="X10" i="22" s="1"/>
  <c r="T14" i="13"/>
  <c r="X11" i="22" s="1"/>
  <c r="T15" i="13"/>
  <c r="X12" i="22" s="1"/>
  <c r="T16" i="13"/>
  <c r="X13" i="22" s="1"/>
  <c r="T17" i="13"/>
  <c r="X14" i="22" s="1"/>
  <c r="T18" i="13"/>
  <c r="X15" i="22" s="1"/>
  <c r="T19" i="13"/>
  <c r="X16" i="22" s="1"/>
  <c r="T20" i="13"/>
  <c r="X17" i="22" s="1"/>
  <c r="T21" i="13"/>
  <c r="X18" i="22" s="1"/>
  <c r="T22" i="13"/>
  <c r="X19" i="22" s="1"/>
  <c r="T23" i="13"/>
  <c r="X20" i="22" s="1"/>
  <c r="T24" i="13"/>
  <c r="X21" i="22" s="1"/>
  <c r="T25" i="13"/>
  <c r="X22" i="22" s="1"/>
  <c r="T26" i="13"/>
  <c r="X23" i="22" s="1"/>
  <c r="T27" i="13"/>
  <c r="X24" i="22" s="1"/>
  <c r="T28" i="13"/>
  <c r="X25" i="22" s="1"/>
  <c r="T29" i="13"/>
  <c r="X26" i="22" s="1"/>
  <c r="T30" i="13"/>
  <c r="X27" i="22" s="1"/>
  <c r="T31" i="13"/>
  <c r="X28" i="22" s="1"/>
  <c r="T32" i="13"/>
  <c r="X29" i="22" s="1"/>
  <c r="T33" i="13"/>
  <c r="X30" i="22" s="1"/>
  <c r="T34" i="13"/>
  <c r="X31" i="22" s="1"/>
  <c r="T35" i="13"/>
  <c r="X32" i="22" s="1"/>
  <c r="T36" i="13"/>
  <c r="X33" i="22" s="1"/>
  <c r="T37" i="13"/>
  <c r="X34" i="22" s="1"/>
  <c r="T38" i="13"/>
  <c r="X35" i="22" s="1"/>
  <c r="T39" i="13"/>
  <c r="X36" i="22" s="1"/>
  <c r="T40" i="13"/>
  <c r="X37" i="22" s="1"/>
  <c r="T41" i="13"/>
  <c r="X38" i="22" s="1"/>
  <c r="T42" i="13"/>
  <c r="X39" i="22" s="1"/>
  <c r="T43" i="13"/>
  <c r="X40" i="22" s="1"/>
  <c r="T44" i="13"/>
  <c r="X41" i="22" s="1"/>
  <c r="T45" i="13"/>
  <c r="X42" i="22" s="1"/>
  <c r="T46" i="13"/>
  <c r="X43" i="22" s="1"/>
  <c r="T47" i="13"/>
  <c r="X44" i="22" s="1"/>
  <c r="T49" i="13"/>
  <c r="X46" i="22" s="1"/>
  <c r="T50" i="13"/>
  <c r="X47" i="22" s="1"/>
  <c r="T51" i="13"/>
  <c r="X48" i="22" s="1"/>
  <c r="T52" i="13"/>
  <c r="X49" i="22" s="1"/>
  <c r="T53" i="13"/>
  <c r="X50" i="22" s="1"/>
  <c r="T54" i="13"/>
  <c r="X51" i="22" s="1"/>
  <c r="T55" i="13"/>
  <c r="X52" i="22" s="1"/>
  <c r="T56" i="13"/>
  <c r="X53" i="22" s="1"/>
  <c r="T57" i="13"/>
  <c r="X54" i="22" s="1"/>
  <c r="T58" i="13"/>
  <c r="X55" i="22" s="1"/>
  <c r="T59" i="13"/>
  <c r="X56" i="22" s="1"/>
  <c r="T60" i="13"/>
  <c r="X57" i="22" s="1"/>
  <c r="T61" i="13"/>
  <c r="X58" i="22" s="1"/>
  <c r="T62" i="13"/>
  <c r="X59" i="22" s="1"/>
  <c r="T63" i="13"/>
  <c r="X60" i="22" s="1"/>
  <c r="T64" i="13"/>
  <c r="X61" i="22" s="1"/>
  <c r="T65" i="13"/>
  <c r="X62" i="22" s="1"/>
  <c r="T66" i="13"/>
  <c r="X63" i="22" s="1"/>
  <c r="T67" i="13"/>
  <c r="X64" i="22" s="1"/>
  <c r="T68" i="13"/>
  <c r="X65" i="22" s="1"/>
  <c r="T69" i="13"/>
  <c r="X66" i="22" s="1"/>
  <c r="T70" i="13"/>
  <c r="X67" i="22" s="1"/>
  <c r="T71" i="13"/>
  <c r="X68" i="22" s="1"/>
  <c r="T72" i="13"/>
  <c r="X69" i="22" s="1"/>
  <c r="T73" i="13"/>
  <c r="X70" i="22" s="1"/>
  <c r="T74" i="13"/>
  <c r="X71" i="22" s="1"/>
  <c r="T75" i="13"/>
  <c r="X72" i="22" s="1"/>
  <c r="T76" i="13"/>
  <c r="X73" i="22" s="1"/>
  <c r="T77" i="13"/>
  <c r="X74" i="22" s="1"/>
  <c r="T78" i="13"/>
  <c r="X75" i="22" s="1"/>
  <c r="T79" i="13"/>
  <c r="X76" i="22" s="1"/>
  <c r="T80" i="13"/>
  <c r="X77" i="22" s="1"/>
  <c r="T81" i="13"/>
  <c r="X78" i="22" s="1"/>
  <c r="T82" i="13"/>
  <c r="X79" i="22" s="1"/>
  <c r="T83" i="13"/>
  <c r="X80" i="22" s="1"/>
  <c r="T84" i="13"/>
  <c r="X81" i="22" s="1"/>
  <c r="T85" i="13"/>
  <c r="X82" i="22" s="1"/>
  <c r="T86" i="13"/>
  <c r="X83" i="22" s="1"/>
  <c r="T87" i="13"/>
  <c r="X84" i="22" s="1"/>
  <c r="T88" i="13"/>
  <c r="X85" i="22" s="1"/>
  <c r="T89" i="13"/>
  <c r="X86" i="22" s="1"/>
  <c r="T90" i="13"/>
  <c r="X87" i="22" s="1"/>
  <c r="T91" i="13"/>
  <c r="X88" i="22" s="1"/>
  <c r="T92" i="13"/>
  <c r="X89" i="22" s="1"/>
  <c r="T93" i="13"/>
  <c r="X90" i="22" s="1"/>
  <c r="T94" i="13"/>
  <c r="X91" i="22" s="1"/>
  <c r="T95" i="13"/>
  <c r="X92" i="22" s="1"/>
  <c r="T96" i="13"/>
  <c r="X93" i="22" s="1"/>
  <c r="T97" i="13"/>
  <c r="X94" i="22" s="1"/>
  <c r="T98" i="13"/>
  <c r="X95" i="22" s="1"/>
  <c r="T99" i="13"/>
  <c r="X96" i="22" s="1"/>
  <c r="T100" i="13"/>
  <c r="X97" i="22" s="1"/>
  <c r="T101" i="13"/>
  <c r="X98" i="22" s="1"/>
  <c r="T102" i="13"/>
  <c r="X99" i="22" s="1"/>
  <c r="T103" i="13"/>
  <c r="X100" i="22" s="1"/>
  <c r="T104" i="13"/>
  <c r="X101" i="22" s="1"/>
  <c r="T105" i="13"/>
  <c r="X102" i="22" s="1"/>
  <c r="T106" i="13"/>
  <c r="X103" i="22" s="1"/>
  <c r="T107" i="13"/>
  <c r="X104" i="22" s="1"/>
  <c r="T108" i="13"/>
  <c r="X105" i="22" s="1"/>
  <c r="T109" i="13"/>
  <c r="X106" i="22" s="1"/>
  <c r="T110" i="13"/>
  <c r="X107" i="22" s="1"/>
  <c r="T111" i="13"/>
  <c r="X108" i="22" s="1"/>
  <c r="T112" i="13"/>
  <c r="X109" i="22" s="1"/>
  <c r="T113" i="13"/>
  <c r="X110" i="22" s="1"/>
  <c r="T114" i="13"/>
  <c r="X111" i="22" s="1"/>
  <c r="T115" i="13"/>
  <c r="X112" i="22" s="1"/>
  <c r="T116" i="13"/>
  <c r="X113" i="22" s="1"/>
  <c r="T117" i="13"/>
  <c r="X114" i="22" s="1"/>
  <c r="T118" i="13"/>
  <c r="X115" i="22" s="1"/>
  <c r="T119" i="13"/>
  <c r="X116" i="22" s="1"/>
  <c r="T120" i="13"/>
  <c r="X117" i="22" s="1"/>
  <c r="T121" i="13"/>
  <c r="X118" i="22" s="1"/>
  <c r="T122" i="13"/>
  <c r="X119" i="22" s="1"/>
  <c r="T123" i="13"/>
  <c r="X120" i="22" s="1"/>
  <c r="T124" i="13"/>
  <c r="X121" i="22" s="1"/>
  <c r="T125" i="13"/>
  <c r="X122" i="22" s="1"/>
  <c r="T126" i="13"/>
  <c r="X123" i="22" s="1"/>
  <c r="T127" i="13"/>
  <c r="X124" i="22" s="1"/>
  <c r="T128" i="13"/>
  <c r="X125" i="22" s="1"/>
  <c r="T129" i="13"/>
  <c r="X126" i="22" s="1"/>
  <c r="T130" i="13"/>
  <c r="X127" i="22" s="1"/>
  <c r="T131" i="13"/>
  <c r="X128" i="22" s="1"/>
  <c r="T132" i="13"/>
  <c r="X129" i="22" s="1"/>
  <c r="T133" i="13"/>
  <c r="X130" i="22" s="1"/>
  <c r="T134" i="13"/>
  <c r="X131" i="22" s="1"/>
  <c r="T135" i="13"/>
  <c r="X132" i="22" s="1"/>
  <c r="T136" i="13"/>
  <c r="X133" i="22" s="1"/>
  <c r="T137" i="13"/>
  <c r="X134" i="22" s="1"/>
  <c r="T138" i="13"/>
  <c r="X135" i="22" s="1"/>
  <c r="T139" i="13"/>
  <c r="X136" i="22" s="1"/>
  <c r="T140" i="13"/>
  <c r="X137" i="22" s="1"/>
  <c r="T142" i="13"/>
  <c r="X139" i="22" s="1"/>
  <c r="T143" i="13"/>
  <c r="X140" i="22" s="1"/>
  <c r="T144" i="13"/>
  <c r="X141" i="22" s="1"/>
  <c r="T145" i="13"/>
  <c r="X142" i="22" s="1"/>
  <c r="T146" i="13"/>
  <c r="X143" i="22" s="1"/>
  <c r="T147" i="13"/>
  <c r="X144" i="22" s="1"/>
  <c r="T148" i="13"/>
  <c r="X145" i="22" s="1"/>
  <c r="T149" i="13"/>
  <c r="X146" i="22" s="1"/>
  <c r="T150" i="13"/>
  <c r="X147" i="22" s="1"/>
  <c r="T151" i="13"/>
  <c r="X148" i="22" s="1"/>
  <c r="T152" i="13"/>
  <c r="X149" i="22" s="1"/>
  <c r="T153" i="13"/>
  <c r="X150" i="22" s="1"/>
  <c r="T154" i="13"/>
  <c r="X151" i="22" s="1"/>
  <c r="T155" i="13"/>
  <c r="X152" i="22" s="1"/>
  <c r="T156" i="13"/>
  <c r="X153" i="22" s="1"/>
  <c r="T157" i="13"/>
  <c r="X154" i="22" s="1"/>
  <c r="T158" i="13"/>
  <c r="X155" i="22" s="1"/>
  <c r="T159" i="13"/>
  <c r="X156" i="22" s="1"/>
  <c r="T160" i="13"/>
  <c r="X157" i="22" s="1"/>
  <c r="T161" i="13"/>
  <c r="X158" i="22" s="1"/>
  <c r="T162" i="13"/>
  <c r="X159" i="22" s="1"/>
  <c r="T163" i="13"/>
  <c r="X160" i="22" s="1"/>
  <c r="T164" i="13"/>
  <c r="X161" i="22" s="1"/>
  <c r="T165" i="13"/>
  <c r="X162" i="22" s="1"/>
  <c r="T166" i="13"/>
  <c r="X163" i="22" s="1"/>
  <c r="T167" i="13"/>
  <c r="X164" i="22" s="1"/>
  <c r="T168" i="13"/>
  <c r="X165" i="22" s="1"/>
  <c r="T169" i="13"/>
  <c r="X166" i="22" s="1"/>
  <c r="T170" i="13"/>
  <c r="X167" i="22" s="1"/>
  <c r="T171" i="13"/>
  <c r="X168" i="22" s="1"/>
  <c r="T172" i="13"/>
  <c r="X169" i="22" s="1"/>
  <c r="T173" i="13"/>
  <c r="X170" i="22" s="1"/>
  <c r="T174" i="13"/>
  <c r="X171" i="22" s="1"/>
  <c r="T175" i="13"/>
  <c r="X172" i="22" s="1"/>
  <c r="T176" i="13"/>
  <c r="X173" i="22" s="1"/>
  <c r="T177" i="13"/>
  <c r="X174" i="22" s="1"/>
  <c r="T178" i="13"/>
  <c r="X175" i="22" s="1"/>
  <c r="T179" i="13"/>
  <c r="X176" i="22" s="1"/>
  <c r="T180" i="13"/>
  <c r="X177" i="22" s="1"/>
  <c r="T181" i="13"/>
  <c r="X178" i="22" s="1"/>
  <c r="T182" i="13"/>
  <c r="X179" i="22" s="1"/>
  <c r="T183" i="13"/>
  <c r="X180" i="22" s="1"/>
  <c r="T184" i="13"/>
  <c r="X181" i="22" s="1"/>
  <c r="T185" i="13"/>
  <c r="X182" i="22" s="1"/>
  <c r="T186" i="13"/>
  <c r="X183" i="22" s="1"/>
  <c r="T187" i="13"/>
  <c r="X184" i="22" s="1"/>
  <c r="T188" i="13"/>
  <c r="X185" i="22" s="1"/>
  <c r="T189" i="13"/>
  <c r="X186" i="22" s="1"/>
  <c r="T190" i="13"/>
  <c r="X187" i="22" s="1"/>
  <c r="T191" i="13"/>
  <c r="X188" i="22" s="1"/>
  <c r="T192" i="13"/>
  <c r="X189" i="22" s="1"/>
  <c r="M8" i="13"/>
  <c r="U5" i="22" s="1"/>
  <c r="M9" i="13"/>
  <c r="U6" i="22" s="1"/>
  <c r="M10" i="13"/>
  <c r="U7" i="22" s="1"/>
  <c r="M12" i="13"/>
  <c r="U9" i="22" s="1"/>
  <c r="M13" i="13"/>
  <c r="U10" i="22" s="1"/>
  <c r="M14" i="13"/>
  <c r="U11" i="22" s="1"/>
  <c r="M15" i="13"/>
  <c r="U12" i="22" s="1"/>
  <c r="M16" i="13"/>
  <c r="U13" i="22" s="1"/>
  <c r="M17" i="13"/>
  <c r="U14" i="22" s="1"/>
  <c r="M18" i="13"/>
  <c r="U15" i="22" s="1"/>
  <c r="M19" i="13"/>
  <c r="U16" i="22" s="1"/>
  <c r="M20" i="13"/>
  <c r="U17" i="22" s="1"/>
  <c r="M21" i="13"/>
  <c r="U18" i="22" s="1"/>
  <c r="M22" i="13"/>
  <c r="U19" i="22" s="1"/>
  <c r="M23" i="13"/>
  <c r="U20" i="22" s="1"/>
  <c r="M24" i="13"/>
  <c r="U21" i="22" s="1"/>
  <c r="M25" i="13"/>
  <c r="U22" i="22" s="1"/>
  <c r="M26" i="13"/>
  <c r="U23" i="22" s="1"/>
  <c r="M27" i="13"/>
  <c r="U24" i="22" s="1"/>
  <c r="M28" i="13"/>
  <c r="U25" i="22" s="1"/>
  <c r="M29" i="13"/>
  <c r="U26" i="22" s="1"/>
  <c r="M30" i="13"/>
  <c r="U27" i="22" s="1"/>
  <c r="M31" i="13"/>
  <c r="U28" i="22" s="1"/>
  <c r="M32" i="13"/>
  <c r="U29" i="22" s="1"/>
  <c r="M33" i="13"/>
  <c r="U30" i="22" s="1"/>
  <c r="M34" i="13"/>
  <c r="U31" i="22" s="1"/>
  <c r="M35" i="13"/>
  <c r="U32" i="22" s="1"/>
  <c r="M36" i="13"/>
  <c r="U33" i="22" s="1"/>
  <c r="M37" i="13"/>
  <c r="U34" i="22" s="1"/>
  <c r="M38" i="13"/>
  <c r="U35" i="22" s="1"/>
  <c r="M39" i="13"/>
  <c r="U36" i="22" s="1"/>
  <c r="M40" i="13"/>
  <c r="U37" i="22" s="1"/>
  <c r="M41" i="13"/>
  <c r="U38" i="22" s="1"/>
  <c r="M42" i="13"/>
  <c r="U39" i="22" s="1"/>
  <c r="M43" i="13"/>
  <c r="U40" i="22" s="1"/>
  <c r="M44" i="13"/>
  <c r="U41" i="22" s="1"/>
  <c r="M45" i="13"/>
  <c r="U42" i="22" s="1"/>
  <c r="M46" i="13"/>
  <c r="U43" i="22" s="1"/>
  <c r="M47" i="13"/>
  <c r="U44" i="22" s="1"/>
  <c r="M49" i="13"/>
  <c r="U46" i="22" s="1"/>
  <c r="M50" i="13"/>
  <c r="U47" i="22" s="1"/>
  <c r="M51" i="13"/>
  <c r="U48" i="22" s="1"/>
  <c r="M52" i="13"/>
  <c r="U49" i="22" s="1"/>
  <c r="M53" i="13"/>
  <c r="U50" i="22" s="1"/>
  <c r="M54" i="13"/>
  <c r="U51" i="22" s="1"/>
  <c r="M55" i="13"/>
  <c r="U52" i="22" s="1"/>
  <c r="M56" i="13"/>
  <c r="U53" i="22" s="1"/>
  <c r="M57" i="13"/>
  <c r="U54" i="22" s="1"/>
  <c r="M58" i="13"/>
  <c r="U55" i="22" s="1"/>
  <c r="M59" i="13"/>
  <c r="U56" i="22" s="1"/>
  <c r="M60" i="13"/>
  <c r="U57" i="22" s="1"/>
  <c r="M61" i="13"/>
  <c r="U58" i="22" s="1"/>
  <c r="M62" i="13"/>
  <c r="U59" i="22" s="1"/>
  <c r="M63" i="13"/>
  <c r="U60" i="22" s="1"/>
  <c r="M64" i="13"/>
  <c r="U61" i="22" s="1"/>
  <c r="M65" i="13"/>
  <c r="U62" i="22" s="1"/>
  <c r="M66" i="13"/>
  <c r="U63" i="22" s="1"/>
  <c r="M67" i="13"/>
  <c r="U64" i="22" s="1"/>
  <c r="M68" i="13"/>
  <c r="U65" i="22" s="1"/>
  <c r="M69" i="13"/>
  <c r="U66" i="22" s="1"/>
  <c r="M70" i="13"/>
  <c r="U67" i="22" s="1"/>
  <c r="M71" i="13"/>
  <c r="U68" i="22" s="1"/>
  <c r="M72" i="13"/>
  <c r="U69" i="22" s="1"/>
  <c r="M73" i="13"/>
  <c r="U70" i="22" s="1"/>
  <c r="M74" i="13"/>
  <c r="U71" i="22" s="1"/>
  <c r="M75" i="13"/>
  <c r="U72" i="22" s="1"/>
  <c r="M76" i="13"/>
  <c r="U73" i="22" s="1"/>
  <c r="M77" i="13"/>
  <c r="U74" i="22" s="1"/>
  <c r="M78" i="13"/>
  <c r="U75" i="22" s="1"/>
  <c r="M79" i="13"/>
  <c r="U76" i="22" s="1"/>
  <c r="M80" i="13"/>
  <c r="U77" i="22" s="1"/>
  <c r="M81" i="13"/>
  <c r="U78" i="22" s="1"/>
  <c r="M82" i="13"/>
  <c r="U79" i="22" s="1"/>
  <c r="M83" i="13"/>
  <c r="U80" i="22" s="1"/>
  <c r="M84" i="13"/>
  <c r="U81" i="22" s="1"/>
  <c r="M85" i="13"/>
  <c r="U82" i="22" s="1"/>
  <c r="M86" i="13"/>
  <c r="U83" i="22" s="1"/>
  <c r="M87" i="13"/>
  <c r="U84" i="22" s="1"/>
  <c r="M88" i="13"/>
  <c r="U85" i="22" s="1"/>
  <c r="M89" i="13"/>
  <c r="U86" i="22" s="1"/>
  <c r="M90" i="13"/>
  <c r="U87" i="22" s="1"/>
  <c r="M91" i="13"/>
  <c r="U88" i="22" s="1"/>
  <c r="M92" i="13"/>
  <c r="U89" i="22" s="1"/>
  <c r="M93" i="13"/>
  <c r="U90" i="22" s="1"/>
  <c r="M94" i="13"/>
  <c r="U91" i="22" s="1"/>
  <c r="M95" i="13"/>
  <c r="U92" i="22" s="1"/>
  <c r="M96" i="13"/>
  <c r="U93" i="22" s="1"/>
  <c r="M97" i="13"/>
  <c r="U94" i="22" s="1"/>
  <c r="M98" i="13"/>
  <c r="U95" i="22" s="1"/>
  <c r="M99" i="13"/>
  <c r="U96" i="22" s="1"/>
  <c r="M100" i="13"/>
  <c r="U97" i="22" s="1"/>
  <c r="M101" i="13"/>
  <c r="U98" i="22" s="1"/>
  <c r="M102" i="13"/>
  <c r="U99" i="22" s="1"/>
  <c r="M103" i="13"/>
  <c r="U100" i="22" s="1"/>
  <c r="M104" i="13"/>
  <c r="U101" i="22" s="1"/>
  <c r="M105" i="13"/>
  <c r="U102" i="22" s="1"/>
  <c r="M106" i="13"/>
  <c r="U103" i="22" s="1"/>
  <c r="M107" i="13"/>
  <c r="U104" i="22" s="1"/>
  <c r="M108" i="13"/>
  <c r="U105" i="22" s="1"/>
  <c r="M109" i="13"/>
  <c r="U106" i="22" s="1"/>
  <c r="M110" i="13"/>
  <c r="U107" i="22" s="1"/>
  <c r="M111" i="13"/>
  <c r="U108" i="22" s="1"/>
  <c r="M112" i="13"/>
  <c r="U109" i="22" s="1"/>
  <c r="M113" i="13"/>
  <c r="U110" i="22" s="1"/>
  <c r="M114" i="13"/>
  <c r="U111" i="22" s="1"/>
  <c r="M115" i="13"/>
  <c r="U112" i="22" s="1"/>
  <c r="M116" i="13"/>
  <c r="U113" i="22" s="1"/>
  <c r="M117" i="13"/>
  <c r="U114" i="22" s="1"/>
  <c r="M118" i="13"/>
  <c r="U115" i="22" s="1"/>
  <c r="M119" i="13"/>
  <c r="U116" i="22" s="1"/>
  <c r="M120" i="13"/>
  <c r="U117" i="22" s="1"/>
  <c r="M121" i="13"/>
  <c r="U118" i="22" s="1"/>
  <c r="M122" i="13"/>
  <c r="U119" i="22" s="1"/>
  <c r="M123" i="13"/>
  <c r="U120" i="22" s="1"/>
  <c r="M124" i="13"/>
  <c r="U121" i="22" s="1"/>
  <c r="M125" i="13"/>
  <c r="U122" i="22" s="1"/>
  <c r="M126" i="13"/>
  <c r="U123" i="22" s="1"/>
  <c r="M127" i="13"/>
  <c r="U124" i="22" s="1"/>
  <c r="M128" i="13"/>
  <c r="U125" i="22" s="1"/>
  <c r="M129" i="13"/>
  <c r="U126" i="22" s="1"/>
  <c r="M130" i="13"/>
  <c r="U127" i="22" s="1"/>
  <c r="M131" i="13"/>
  <c r="U128" i="22" s="1"/>
  <c r="M132" i="13"/>
  <c r="U129" i="22" s="1"/>
  <c r="M133" i="13"/>
  <c r="U130" i="22" s="1"/>
  <c r="M134" i="13"/>
  <c r="U131" i="22" s="1"/>
  <c r="M135" i="13"/>
  <c r="U132" i="22" s="1"/>
  <c r="M136" i="13"/>
  <c r="U133" i="22" s="1"/>
  <c r="M137" i="13"/>
  <c r="U134" i="22" s="1"/>
  <c r="M138" i="13"/>
  <c r="U135" i="22" s="1"/>
  <c r="M139" i="13"/>
  <c r="U136" i="22" s="1"/>
  <c r="M140" i="13"/>
  <c r="U137" i="22" s="1"/>
  <c r="M142" i="13"/>
  <c r="U139" i="22" s="1"/>
  <c r="M143" i="13"/>
  <c r="U140" i="22" s="1"/>
  <c r="M144" i="13"/>
  <c r="U141" i="22" s="1"/>
  <c r="M145" i="13"/>
  <c r="U142" i="22" s="1"/>
  <c r="M146" i="13"/>
  <c r="U143" i="22" s="1"/>
  <c r="M147" i="13"/>
  <c r="U144" i="22" s="1"/>
  <c r="M148" i="13"/>
  <c r="U145" i="22" s="1"/>
  <c r="M149" i="13"/>
  <c r="U146" i="22" s="1"/>
  <c r="M150" i="13"/>
  <c r="U147" i="22" s="1"/>
  <c r="M151" i="13"/>
  <c r="U148" i="22" s="1"/>
  <c r="M152" i="13"/>
  <c r="U149" i="22" s="1"/>
  <c r="M153" i="13"/>
  <c r="U150" i="22" s="1"/>
  <c r="M154" i="13"/>
  <c r="U151" i="22" s="1"/>
  <c r="M155" i="13"/>
  <c r="U152" i="22" s="1"/>
  <c r="M156" i="13"/>
  <c r="U153" i="22" s="1"/>
  <c r="M157" i="13"/>
  <c r="U154" i="22" s="1"/>
  <c r="M158" i="13"/>
  <c r="U155" i="22" s="1"/>
  <c r="M159" i="13"/>
  <c r="U156" i="22" s="1"/>
  <c r="M160" i="13"/>
  <c r="U157" i="22" s="1"/>
  <c r="M161" i="13"/>
  <c r="U158" i="22" s="1"/>
  <c r="M162" i="13"/>
  <c r="U159" i="22" s="1"/>
  <c r="M163" i="13"/>
  <c r="U160" i="22" s="1"/>
  <c r="M164" i="13"/>
  <c r="U161" i="22" s="1"/>
  <c r="M165" i="13"/>
  <c r="U162" i="22" s="1"/>
  <c r="M166" i="13"/>
  <c r="U163" i="22" s="1"/>
  <c r="M167" i="13"/>
  <c r="U164" i="22" s="1"/>
  <c r="M168" i="13"/>
  <c r="U165" i="22" s="1"/>
  <c r="M169" i="13"/>
  <c r="U166" i="22" s="1"/>
  <c r="M170" i="13"/>
  <c r="U167" i="22" s="1"/>
  <c r="M171" i="13"/>
  <c r="U168" i="22" s="1"/>
  <c r="M172" i="13"/>
  <c r="U169" i="22" s="1"/>
  <c r="M173" i="13"/>
  <c r="U170" i="22" s="1"/>
  <c r="M174" i="13"/>
  <c r="U171" i="22" s="1"/>
  <c r="M175" i="13"/>
  <c r="U172" i="22" s="1"/>
  <c r="M176" i="13"/>
  <c r="U173" i="22" s="1"/>
  <c r="M177" i="13"/>
  <c r="U174" i="22" s="1"/>
  <c r="M178" i="13"/>
  <c r="U175" i="22" s="1"/>
  <c r="M179" i="13"/>
  <c r="U176" i="22" s="1"/>
  <c r="M180" i="13"/>
  <c r="U177" i="22" s="1"/>
  <c r="M181" i="13"/>
  <c r="U178" i="22" s="1"/>
  <c r="M182" i="13"/>
  <c r="U179" i="22" s="1"/>
  <c r="M183" i="13"/>
  <c r="U180" i="22" s="1"/>
  <c r="M184" i="13"/>
  <c r="U181" i="22" s="1"/>
  <c r="M185" i="13"/>
  <c r="U182" i="22" s="1"/>
  <c r="M186" i="13"/>
  <c r="U183" i="22" s="1"/>
  <c r="M187" i="13"/>
  <c r="U184" i="22" s="1"/>
  <c r="M188" i="13"/>
  <c r="U185" i="22" s="1"/>
  <c r="M189" i="13"/>
  <c r="U186" i="22" s="1"/>
  <c r="M190" i="13"/>
  <c r="U187" i="22" s="1"/>
  <c r="M191" i="13"/>
  <c r="U188" i="22" s="1"/>
  <c r="M192" i="13"/>
  <c r="U189" i="22" s="1"/>
  <c r="F8" i="13"/>
  <c r="R5" i="22" s="1"/>
  <c r="F9" i="13"/>
  <c r="R6" i="22" s="1"/>
  <c r="F10" i="13"/>
  <c r="R7" i="22" s="1"/>
  <c r="F12" i="13"/>
  <c r="R9" i="22" s="1"/>
  <c r="F13" i="13"/>
  <c r="R10" i="22" s="1"/>
  <c r="F14" i="13"/>
  <c r="R11" i="22" s="1"/>
  <c r="F15" i="13"/>
  <c r="R12" i="22" s="1"/>
  <c r="F16" i="13"/>
  <c r="R13" i="22" s="1"/>
  <c r="F17" i="13"/>
  <c r="R14" i="22" s="1"/>
  <c r="F18" i="13"/>
  <c r="R15" i="22" s="1"/>
  <c r="F19" i="13"/>
  <c r="R16" i="22" s="1"/>
  <c r="F20" i="13"/>
  <c r="R17" i="22" s="1"/>
  <c r="F21" i="13"/>
  <c r="R18" i="22" s="1"/>
  <c r="F22" i="13"/>
  <c r="R19" i="22" s="1"/>
  <c r="F23" i="13"/>
  <c r="R20" i="22" s="1"/>
  <c r="F24" i="13"/>
  <c r="R21" i="22" s="1"/>
  <c r="F25" i="13"/>
  <c r="R22" i="22" s="1"/>
  <c r="F26" i="13"/>
  <c r="R23" i="22" s="1"/>
  <c r="F27" i="13"/>
  <c r="R24" i="22" s="1"/>
  <c r="F28" i="13"/>
  <c r="R25" i="22" s="1"/>
  <c r="F29" i="13"/>
  <c r="R26" i="22" s="1"/>
  <c r="F30" i="13"/>
  <c r="R27" i="22" s="1"/>
  <c r="F31" i="13"/>
  <c r="R28" i="22" s="1"/>
  <c r="F32" i="13"/>
  <c r="R29" i="22" s="1"/>
  <c r="F33" i="13"/>
  <c r="R30" i="22" s="1"/>
  <c r="F34" i="13"/>
  <c r="R31" i="22" s="1"/>
  <c r="F35" i="13"/>
  <c r="R32" i="22" s="1"/>
  <c r="F36" i="13"/>
  <c r="R33" i="22" s="1"/>
  <c r="F37" i="13"/>
  <c r="R34" i="22" s="1"/>
  <c r="F38" i="13"/>
  <c r="R35" i="22" s="1"/>
  <c r="F39" i="13"/>
  <c r="R36" i="22" s="1"/>
  <c r="F40" i="13"/>
  <c r="R37" i="22" s="1"/>
  <c r="F41" i="13"/>
  <c r="R38" i="22" s="1"/>
  <c r="F42" i="13"/>
  <c r="R39" i="22" s="1"/>
  <c r="F43" i="13"/>
  <c r="R40" i="22" s="1"/>
  <c r="F44" i="13"/>
  <c r="R41" i="22" s="1"/>
  <c r="F45" i="13"/>
  <c r="R42" i="22" s="1"/>
  <c r="F46" i="13"/>
  <c r="R43" i="22" s="1"/>
  <c r="F47" i="13"/>
  <c r="R44" i="22" s="1"/>
  <c r="F49" i="13"/>
  <c r="R46" i="22" s="1"/>
  <c r="F50" i="13"/>
  <c r="R47" i="22" s="1"/>
  <c r="F51" i="13"/>
  <c r="R48" i="22" s="1"/>
  <c r="F52" i="13"/>
  <c r="R49" i="22" s="1"/>
  <c r="F53" i="13"/>
  <c r="R50" i="22" s="1"/>
  <c r="F54" i="13"/>
  <c r="R51" i="22" s="1"/>
  <c r="F55" i="13"/>
  <c r="R52" i="22" s="1"/>
  <c r="F56" i="13"/>
  <c r="R53" i="22" s="1"/>
  <c r="F57" i="13"/>
  <c r="R54" i="22" s="1"/>
  <c r="F58" i="13"/>
  <c r="R55" i="22" s="1"/>
  <c r="F59" i="13"/>
  <c r="R56" i="22" s="1"/>
  <c r="F60" i="13"/>
  <c r="R57" i="22" s="1"/>
  <c r="F61" i="13"/>
  <c r="R58" i="22" s="1"/>
  <c r="F62" i="13"/>
  <c r="R59" i="22" s="1"/>
  <c r="F63" i="13"/>
  <c r="R60" i="22" s="1"/>
  <c r="F64" i="13"/>
  <c r="R61" i="22" s="1"/>
  <c r="F65" i="13"/>
  <c r="R62" i="22" s="1"/>
  <c r="F66" i="13"/>
  <c r="R63" i="22" s="1"/>
  <c r="F67" i="13"/>
  <c r="R64" i="22" s="1"/>
  <c r="F68" i="13"/>
  <c r="R65" i="22" s="1"/>
  <c r="F69" i="13"/>
  <c r="R66" i="22" s="1"/>
  <c r="F70" i="13"/>
  <c r="R67" i="22" s="1"/>
  <c r="F71" i="13"/>
  <c r="R68" i="22" s="1"/>
  <c r="F72" i="13"/>
  <c r="R69" i="22" s="1"/>
  <c r="F73" i="13"/>
  <c r="R70" i="22" s="1"/>
  <c r="F74" i="13"/>
  <c r="R71" i="22" s="1"/>
  <c r="F75" i="13"/>
  <c r="R72" i="22" s="1"/>
  <c r="F76" i="13"/>
  <c r="R73" i="22" s="1"/>
  <c r="F77" i="13"/>
  <c r="R74" i="22" s="1"/>
  <c r="F78" i="13"/>
  <c r="R75" i="22" s="1"/>
  <c r="F79" i="13"/>
  <c r="R76" i="22" s="1"/>
  <c r="F80" i="13"/>
  <c r="R77" i="22" s="1"/>
  <c r="F81" i="13"/>
  <c r="R78" i="22" s="1"/>
  <c r="F82" i="13"/>
  <c r="R79" i="22" s="1"/>
  <c r="F83" i="13"/>
  <c r="R80" i="22" s="1"/>
  <c r="F84" i="13"/>
  <c r="R81" i="22" s="1"/>
  <c r="F85" i="13"/>
  <c r="R82" i="22" s="1"/>
  <c r="F86" i="13"/>
  <c r="R83" i="22" s="1"/>
  <c r="F87" i="13"/>
  <c r="R84" i="22" s="1"/>
  <c r="F88" i="13"/>
  <c r="R85" i="22" s="1"/>
  <c r="F89" i="13"/>
  <c r="R86" i="22" s="1"/>
  <c r="F90" i="13"/>
  <c r="R87" i="22" s="1"/>
  <c r="F91" i="13"/>
  <c r="R88" i="22" s="1"/>
  <c r="F92" i="13"/>
  <c r="R89" i="22" s="1"/>
  <c r="F93" i="13"/>
  <c r="R90" i="22" s="1"/>
  <c r="F94" i="13"/>
  <c r="R91" i="22" s="1"/>
  <c r="F95" i="13"/>
  <c r="R92" i="22" s="1"/>
  <c r="F96" i="13"/>
  <c r="R93" i="22" s="1"/>
  <c r="F97" i="13"/>
  <c r="R94" i="22" s="1"/>
  <c r="F98" i="13"/>
  <c r="R95" i="22" s="1"/>
  <c r="F99" i="13"/>
  <c r="R96" i="22" s="1"/>
  <c r="F100" i="13"/>
  <c r="R97" i="22" s="1"/>
  <c r="F101" i="13"/>
  <c r="R98" i="22" s="1"/>
  <c r="F102" i="13"/>
  <c r="R99" i="22" s="1"/>
  <c r="F103" i="13"/>
  <c r="R100" i="22" s="1"/>
  <c r="F104" i="13"/>
  <c r="R101" i="22" s="1"/>
  <c r="F105" i="13"/>
  <c r="R102" i="22" s="1"/>
  <c r="F106" i="13"/>
  <c r="R103" i="22" s="1"/>
  <c r="F107" i="13"/>
  <c r="R104" i="22" s="1"/>
  <c r="F108" i="13"/>
  <c r="R105" i="22" s="1"/>
  <c r="F109" i="13"/>
  <c r="R106" i="22" s="1"/>
  <c r="F110" i="13"/>
  <c r="R107" i="22" s="1"/>
  <c r="F111" i="13"/>
  <c r="R108" i="22" s="1"/>
  <c r="F112" i="13"/>
  <c r="R109" i="22" s="1"/>
  <c r="F113" i="13"/>
  <c r="R110" i="22" s="1"/>
  <c r="F114" i="13"/>
  <c r="R111" i="22" s="1"/>
  <c r="F115" i="13"/>
  <c r="R112" i="22" s="1"/>
  <c r="F116" i="13"/>
  <c r="R113" i="22" s="1"/>
  <c r="F117" i="13"/>
  <c r="R114" i="22" s="1"/>
  <c r="F118" i="13"/>
  <c r="R115" i="22" s="1"/>
  <c r="F119" i="13"/>
  <c r="R116" i="22" s="1"/>
  <c r="F120" i="13"/>
  <c r="R117" i="22" s="1"/>
  <c r="F121" i="13"/>
  <c r="R118" i="22" s="1"/>
  <c r="F122" i="13"/>
  <c r="R119" i="22" s="1"/>
  <c r="F123" i="13"/>
  <c r="R120" i="22" s="1"/>
  <c r="F124" i="13"/>
  <c r="R121" i="22" s="1"/>
  <c r="F125" i="13"/>
  <c r="R122" i="22" s="1"/>
  <c r="F126" i="13"/>
  <c r="R123" i="22" s="1"/>
  <c r="F127" i="13"/>
  <c r="R124" i="22" s="1"/>
  <c r="F128" i="13"/>
  <c r="R125" i="22" s="1"/>
  <c r="F129" i="13"/>
  <c r="R126" i="22" s="1"/>
  <c r="F130" i="13"/>
  <c r="R127" i="22" s="1"/>
  <c r="F131" i="13"/>
  <c r="R128" i="22" s="1"/>
  <c r="F132" i="13"/>
  <c r="R129" i="22" s="1"/>
  <c r="F133" i="13"/>
  <c r="R130" i="22" s="1"/>
  <c r="F134" i="13"/>
  <c r="R131" i="22" s="1"/>
  <c r="F135" i="13"/>
  <c r="R132" i="22" s="1"/>
  <c r="F136" i="13"/>
  <c r="R133" i="22" s="1"/>
  <c r="F137" i="13"/>
  <c r="R134" i="22" s="1"/>
  <c r="F138" i="13"/>
  <c r="R135" i="22" s="1"/>
  <c r="F139" i="13"/>
  <c r="R136" i="22" s="1"/>
  <c r="F140" i="13"/>
  <c r="R137" i="22" s="1"/>
  <c r="F142" i="13"/>
  <c r="R139" i="22" s="1"/>
  <c r="F143" i="13"/>
  <c r="R140" i="22" s="1"/>
  <c r="F144" i="13"/>
  <c r="R141" i="22" s="1"/>
  <c r="F145" i="13"/>
  <c r="R142" i="22" s="1"/>
  <c r="F146" i="13"/>
  <c r="R143" i="22" s="1"/>
  <c r="F147" i="13"/>
  <c r="R144" i="22" s="1"/>
  <c r="F148" i="13"/>
  <c r="R145" i="22" s="1"/>
  <c r="F149" i="13"/>
  <c r="R146" i="22" s="1"/>
  <c r="F150" i="13"/>
  <c r="R147" i="22" s="1"/>
  <c r="F151" i="13"/>
  <c r="R148" i="22" s="1"/>
  <c r="F152" i="13"/>
  <c r="R149" i="22" s="1"/>
  <c r="F153" i="13"/>
  <c r="R150" i="22" s="1"/>
  <c r="F154" i="13"/>
  <c r="R151" i="22" s="1"/>
  <c r="R152"/>
  <c r="F156" i="13"/>
  <c r="R153" i="22" s="1"/>
  <c r="F157" i="13"/>
  <c r="R154" i="22" s="1"/>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C45" l="1"/>
  <c r="AD187" i="23"/>
  <c r="AD138"/>
  <c r="AG140" i="13"/>
  <c r="AN140" s="1"/>
  <c r="C137" i="23" s="1"/>
  <c r="V188"/>
  <c r="AA184" i="22"/>
  <c r="T184" s="1"/>
  <c r="S184" s="1"/>
  <c r="AA176"/>
  <c r="T176" s="1"/>
  <c r="S176" s="1"/>
  <c r="AA160"/>
  <c r="T160" s="1"/>
  <c r="S160" s="1"/>
  <c r="AA152"/>
  <c r="T152" s="1"/>
  <c r="S152" s="1"/>
  <c r="AA140"/>
  <c r="T140" s="1"/>
  <c r="S140" s="1"/>
  <c r="AA127"/>
  <c r="Z127" s="1"/>
  <c r="Y127" s="1"/>
  <c r="AA119"/>
  <c r="T119" s="1"/>
  <c r="S119" s="1"/>
  <c r="AA115"/>
  <c r="T115" s="1"/>
  <c r="S115" s="1"/>
  <c r="AA107"/>
  <c r="T107" s="1"/>
  <c r="S107" s="1"/>
  <c r="AA103"/>
  <c r="T103" s="1"/>
  <c r="S103" s="1"/>
  <c r="AA99"/>
  <c r="T99" s="1"/>
  <c r="S99" s="1"/>
  <c r="AA95"/>
  <c r="T95" s="1"/>
  <c r="S95" s="1"/>
  <c r="AA91"/>
  <c r="T91" s="1"/>
  <c r="S91" s="1"/>
  <c r="AA83"/>
  <c r="T83" s="1"/>
  <c r="S83" s="1"/>
  <c r="AA79"/>
  <c r="T79" s="1"/>
  <c r="S79" s="1"/>
  <c r="AA75"/>
  <c r="T75" s="1"/>
  <c r="S75" s="1"/>
  <c r="AA71"/>
  <c r="T71" s="1"/>
  <c r="S71" s="1"/>
  <c r="AA67"/>
  <c r="T67" s="1"/>
  <c r="S67" s="1"/>
  <c r="AA63"/>
  <c r="T63" s="1"/>
  <c r="S63" s="1"/>
  <c r="AA59"/>
  <c r="T59" s="1"/>
  <c r="S59" s="1"/>
  <c r="AA55"/>
  <c r="T55" s="1"/>
  <c r="S55" s="1"/>
  <c r="AA51"/>
  <c r="T51" s="1"/>
  <c r="S51" s="1"/>
  <c r="AA47"/>
  <c r="Z47" s="1"/>
  <c r="Y47" s="1"/>
  <c r="AA188"/>
  <c r="T188" s="1"/>
  <c r="S188" s="1"/>
  <c r="AA180"/>
  <c r="T180" s="1"/>
  <c r="S180" s="1"/>
  <c r="AA172"/>
  <c r="T172" s="1"/>
  <c r="S172" s="1"/>
  <c r="AA144"/>
  <c r="T144" s="1"/>
  <c r="S144" s="1"/>
  <c r="AA185"/>
  <c r="T185" s="1"/>
  <c r="S185" s="1"/>
  <c r="AA169"/>
  <c r="T169" s="1"/>
  <c r="S169" s="1"/>
  <c r="AA153"/>
  <c r="T153" s="1"/>
  <c r="S153" s="1"/>
  <c r="AA136"/>
  <c r="T136" s="1"/>
  <c r="S136" s="1"/>
  <c r="AA120"/>
  <c r="T120" s="1"/>
  <c r="S120" s="1"/>
  <c r="AA104"/>
  <c r="T104" s="1"/>
  <c r="S104" s="1"/>
  <c r="AA88"/>
  <c r="T88" s="1"/>
  <c r="S88" s="1"/>
  <c r="AA72"/>
  <c r="T72" s="1"/>
  <c r="S72" s="1"/>
  <c r="AA56"/>
  <c r="T56" s="1"/>
  <c r="S56" s="1"/>
  <c r="AA31"/>
  <c r="Z31" s="1"/>
  <c r="Y31" s="1"/>
  <c r="AA27"/>
  <c r="T27" s="1"/>
  <c r="S27" s="1"/>
  <c r="AA15"/>
  <c r="Z15" s="1"/>
  <c r="Y15" s="1"/>
  <c r="V187" i="23"/>
  <c r="AA186" i="22"/>
  <c r="T186" s="1"/>
  <c r="S186" s="1"/>
  <c r="AA174"/>
  <c r="T174" s="1"/>
  <c r="S174" s="1"/>
  <c r="AA162"/>
  <c r="Z162" s="1"/>
  <c r="Y162" s="1"/>
  <c r="AA150"/>
  <c r="T150" s="1"/>
  <c r="S150" s="1"/>
  <c r="AA142"/>
  <c r="Z142" s="1"/>
  <c r="Y142" s="1"/>
  <c r="AA133"/>
  <c r="T133" s="1"/>
  <c r="S133" s="1"/>
  <c r="AA125"/>
  <c r="Z125" s="1"/>
  <c r="Y125" s="1"/>
  <c r="AA117"/>
  <c r="T117" s="1"/>
  <c r="S117" s="1"/>
  <c r="AA109"/>
  <c r="Z109" s="1"/>
  <c r="Y109" s="1"/>
  <c r="AA101"/>
  <c r="T101" s="1"/>
  <c r="S101" s="1"/>
  <c r="AA93"/>
  <c r="Z93" s="1"/>
  <c r="Y93" s="1"/>
  <c r="AA85"/>
  <c r="T85" s="1"/>
  <c r="S85" s="1"/>
  <c r="AA77"/>
  <c r="Z77" s="1"/>
  <c r="Y77" s="1"/>
  <c r="AA69"/>
  <c r="T69" s="1"/>
  <c r="S69" s="1"/>
  <c r="AA61"/>
  <c r="Z61" s="1"/>
  <c r="Y61" s="1"/>
  <c r="AA53"/>
  <c r="T53" s="1"/>
  <c r="S53" s="1"/>
  <c r="AA7"/>
  <c r="T7" s="1"/>
  <c r="S7" s="1"/>
  <c r="T45"/>
  <c r="S45" s="1"/>
  <c r="AA183"/>
  <c r="T183" s="1"/>
  <c r="S183" s="1"/>
  <c r="AA175"/>
  <c r="T175" s="1"/>
  <c r="S175" s="1"/>
  <c r="AA167"/>
  <c r="T167" s="1"/>
  <c r="S167" s="1"/>
  <c r="AA159"/>
  <c r="T159" s="1"/>
  <c r="S159" s="1"/>
  <c r="AA151"/>
  <c r="T151" s="1"/>
  <c r="S151" s="1"/>
  <c r="AA143"/>
  <c r="T143" s="1"/>
  <c r="S143" s="1"/>
  <c r="AA134"/>
  <c r="T134" s="1"/>
  <c r="S134" s="1"/>
  <c r="AA126"/>
  <c r="T126" s="1"/>
  <c r="S126" s="1"/>
  <c r="AA118"/>
  <c r="Z118" s="1"/>
  <c r="Y118" s="1"/>
  <c r="AA110"/>
  <c r="Z110" s="1"/>
  <c r="Y110" s="1"/>
  <c r="AA102"/>
  <c r="Z102" s="1"/>
  <c r="Y102" s="1"/>
  <c r="AA94"/>
  <c r="Z94" s="1"/>
  <c r="Y94" s="1"/>
  <c r="AA86"/>
  <c r="Z86" s="1"/>
  <c r="Y86" s="1"/>
  <c r="AA78"/>
  <c r="Z78" s="1"/>
  <c r="Y78" s="1"/>
  <c r="AA70"/>
  <c r="Z70" s="1"/>
  <c r="Y70" s="1"/>
  <c r="AA62"/>
  <c r="Z62" s="1"/>
  <c r="Y62" s="1"/>
  <c r="AA54"/>
  <c r="Z54" s="1"/>
  <c r="Y54" s="1"/>
  <c r="AA9"/>
  <c r="Z9" s="1"/>
  <c r="Y9" s="1"/>
  <c r="Z45"/>
  <c r="Y45" s="1"/>
  <c r="AD188" i="23"/>
  <c r="AD186"/>
  <c r="AD185"/>
  <c r="V185"/>
  <c r="Z185" s="1"/>
  <c r="X184"/>
  <c r="V184"/>
  <c r="X182"/>
  <c r="X54"/>
  <c r="X18"/>
  <c r="X38"/>
  <c r="AP48" i="13"/>
  <c r="AD184" i="23"/>
  <c r="T8" i="22"/>
  <c r="S8" s="1"/>
  <c r="X57" i="23"/>
  <c r="AA156" i="22"/>
  <c r="T156" s="1"/>
  <c r="S156" s="1"/>
  <c r="AA148"/>
  <c r="T148" s="1"/>
  <c r="S148" s="1"/>
  <c r="AA42"/>
  <c r="Z42" s="1"/>
  <c r="Y42" s="1"/>
  <c r="AA38"/>
  <c r="T38" s="1"/>
  <c r="S38" s="1"/>
  <c r="AA34"/>
  <c r="T34" s="1"/>
  <c r="S34" s="1"/>
  <c r="AA30"/>
  <c r="T30" s="1"/>
  <c r="S30" s="1"/>
  <c r="AA26"/>
  <c r="T26" s="1"/>
  <c r="S26" s="1"/>
  <c r="AA22"/>
  <c r="T22" s="1"/>
  <c r="S22" s="1"/>
  <c r="AA18"/>
  <c r="T18" s="1"/>
  <c r="S18" s="1"/>
  <c r="AA14"/>
  <c r="T14" s="1"/>
  <c r="S14" s="1"/>
  <c r="AA10"/>
  <c r="T10" s="1"/>
  <c r="S10" s="1"/>
  <c r="AA5"/>
  <c r="Z5" s="1"/>
  <c r="Y5" s="1"/>
  <c r="C8"/>
  <c r="AP11" i="13"/>
  <c r="AC193"/>
  <c r="W8" i="22"/>
  <c r="V8" s="1"/>
  <c r="AA187"/>
  <c r="T187" s="1"/>
  <c r="S187" s="1"/>
  <c r="AA179"/>
  <c r="T179" s="1"/>
  <c r="S179" s="1"/>
  <c r="AA171"/>
  <c r="W171" s="1"/>
  <c r="V171" s="1"/>
  <c r="AA163"/>
  <c r="T163" s="1"/>
  <c r="S163" s="1"/>
  <c r="AA155"/>
  <c r="W155" s="1"/>
  <c r="V155" s="1"/>
  <c r="AA147"/>
  <c r="T147" s="1"/>
  <c r="S147" s="1"/>
  <c r="AA168"/>
  <c r="Z168" s="1"/>
  <c r="Y168" s="1"/>
  <c r="AA164"/>
  <c r="Z164" s="1"/>
  <c r="Y164" s="1"/>
  <c r="AA135"/>
  <c r="Z135" s="1"/>
  <c r="Y135" s="1"/>
  <c r="AA131"/>
  <c r="Z131" s="1"/>
  <c r="Y131" s="1"/>
  <c r="AA123"/>
  <c r="Z123" s="1"/>
  <c r="Y123" s="1"/>
  <c r="AA111"/>
  <c r="Z111" s="1"/>
  <c r="Y111" s="1"/>
  <c r="AA87"/>
  <c r="Z87" s="1"/>
  <c r="Y87" s="1"/>
  <c r="AA189"/>
  <c r="Z189" s="1"/>
  <c r="Y189" s="1"/>
  <c r="AA181"/>
  <c r="T181" s="1"/>
  <c r="S181" s="1"/>
  <c r="AA177"/>
  <c r="T177" s="1"/>
  <c r="S177" s="1"/>
  <c r="AA173"/>
  <c r="Z173" s="1"/>
  <c r="Y173" s="1"/>
  <c r="AA165"/>
  <c r="T165" s="1"/>
  <c r="S165" s="1"/>
  <c r="AA161"/>
  <c r="T161" s="1"/>
  <c r="S161" s="1"/>
  <c r="AA157"/>
  <c r="T157" s="1"/>
  <c r="S157" s="1"/>
  <c r="AA149"/>
  <c r="Z149" s="1"/>
  <c r="Y149" s="1"/>
  <c r="AA145"/>
  <c r="T145" s="1"/>
  <c r="S145" s="1"/>
  <c r="AA141"/>
  <c r="T141" s="1"/>
  <c r="S141" s="1"/>
  <c r="AA132"/>
  <c r="T132" s="1"/>
  <c r="S132" s="1"/>
  <c r="AA128"/>
  <c r="Z128" s="1"/>
  <c r="Y128" s="1"/>
  <c r="AA124"/>
  <c r="T124" s="1"/>
  <c r="S124" s="1"/>
  <c r="AA116"/>
  <c r="T116" s="1"/>
  <c r="S116" s="1"/>
  <c r="AA112"/>
  <c r="Z112" s="1"/>
  <c r="Y112" s="1"/>
  <c r="AA108"/>
  <c r="Z108" s="1"/>
  <c r="Y108" s="1"/>
  <c r="AA100"/>
  <c r="T100" s="1"/>
  <c r="S100" s="1"/>
  <c r="AA96"/>
  <c r="T96" s="1"/>
  <c r="S96" s="1"/>
  <c r="AA92"/>
  <c r="T92" s="1"/>
  <c r="S92" s="1"/>
  <c r="AA84"/>
  <c r="Z84" s="1"/>
  <c r="Y84" s="1"/>
  <c r="AA80"/>
  <c r="T80" s="1"/>
  <c r="S80" s="1"/>
  <c r="AA76"/>
  <c r="T76" s="1"/>
  <c r="S76" s="1"/>
  <c r="AA68"/>
  <c r="T68" s="1"/>
  <c r="S68" s="1"/>
  <c r="AA64"/>
  <c r="Z64" s="1"/>
  <c r="Y64" s="1"/>
  <c r="AA60"/>
  <c r="T60" s="1"/>
  <c r="S60" s="1"/>
  <c r="AA52"/>
  <c r="T52" s="1"/>
  <c r="S52" s="1"/>
  <c r="AA48"/>
  <c r="T48" s="1"/>
  <c r="S48" s="1"/>
  <c r="AA43"/>
  <c r="Z43" s="1"/>
  <c r="Y43" s="1"/>
  <c r="AA39"/>
  <c r="T39" s="1"/>
  <c r="S39" s="1"/>
  <c r="AA35"/>
  <c r="T35" s="1"/>
  <c r="S35" s="1"/>
  <c r="AA23"/>
  <c r="Z23" s="1"/>
  <c r="Y23" s="1"/>
  <c r="AA19"/>
  <c r="Z19" s="1"/>
  <c r="Y19" s="1"/>
  <c r="AA11"/>
  <c r="T11" s="1"/>
  <c r="S11" s="1"/>
  <c r="AA6"/>
  <c r="T6" s="1"/>
  <c r="S6" s="1"/>
  <c r="N23" i="20"/>
  <c r="O23" s="1"/>
  <c r="O18"/>
  <c r="AD193" i="13"/>
  <c r="AA182" i="22"/>
  <c r="W182" s="1"/>
  <c r="V182" s="1"/>
  <c r="AA178"/>
  <c r="W178" s="1"/>
  <c r="V178" s="1"/>
  <c r="AA170"/>
  <c r="W170" s="1"/>
  <c r="V170" s="1"/>
  <c r="AA166"/>
  <c r="W166" s="1"/>
  <c r="V166" s="1"/>
  <c r="AA158"/>
  <c r="W158" s="1"/>
  <c r="V158" s="1"/>
  <c r="AA154"/>
  <c r="W154" s="1"/>
  <c r="V154" s="1"/>
  <c r="AA146"/>
  <c r="Z146" s="1"/>
  <c r="Y146" s="1"/>
  <c r="AA137"/>
  <c r="Z137" s="1"/>
  <c r="Y137" s="1"/>
  <c r="AA129"/>
  <c r="Z129" s="1"/>
  <c r="Y129" s="1"/>
  <c r="AA121"/>
  <c r="T121" s="1"/>
  <c r="S121" s="1"/>
  <c r="AA113"/>
  <c r="W113" s="1"/>
  <c r="V113" s="1"/>
  <c r="AA105"/>
  <c r="T105" s="1"/>
  <c r="S105" s="1"/>
  <c r="AA97"/>
  <c r="W97" s="1"/>
  <c r="V97" s="1"/>
  <c r="AA89"/>
  <c r="T89" s="1"/>
  <c r="S89" s="1"/>
  <c r="AA81"/>
  <c r="W81" s="1"/>
  <c r="V81" s="1"/>
  <c r="AA73"/>
  <c r="T73" s="1"/>
  <c r="S73" s="1"/>
  <c r="AA65"/>
  <c r="W65" s="1"/>
  <c r="V65" s="1"/>
  <c r="AA57"/>
  <c r="T57" s="1"/>
  <c r="S57" s="1"/>
  <c r="AA49"/>
  <c r="W49" s="1"/>
  <c r="V49" s="1"/>
  <c r="AA44"/>
  <c r="W44" s="1"/>
  <c r="V44" s="1"/>
  <c r="AA40"/>
  <c r="W40" s="1"/>
  <c r="V40" s="1"/>
  <c r="AA36"/>
  <c r="W36" s="1"/>
  <c r="V36" s="1"/>
  <c r="AA32"/>
  <c r="W32" s="1"/>
  <c r="V32" s="1"/>
  <c r="AA28"/>
  <c r="W28" s="1"/>
  <c r="V28" s="1"/>
  <c r="AA24"/>
  <c r="W24" s="1"/>
  <c r="V24" s="1"/>
  <c r="AA20"/>
  <c r="W20" s="1"/>
  <c r="V20" s="1"/>
  <c r="AA16"/>
  <c r="W16" s="1"/>
  <c r="V16" s="1"/>
  <c r="AA12"/>
  <c r="W12" s="1"/>
  <c r="V12" s="1"/>
  <c r="AG117" i="13"/>
  <c r="AG197" s="1"/>
  <c r="Z193"/>
  <c r="AE193"/>
  <c r="T186" i="23"/>
  <c r="AA139" i="22"/>
  <c r="W139" s="1"/>
  <c r="V139" s="1"/>
  <c r="AA130"/>
  <c r="W130" s="1"/>
  <c r="V130" s="1"/>
  <c r="AA122"/>
  <c r="Z122" s="1"/>
  <c r="Y122" s="1"/>
  <c r="AA114"/>
  <c r="Z114" s="1"/>
  <c r="Y114" s="1"/>
  <c r="AA106"/>
  <c r="Z106" s="1"/>
  <c r="Y106" s="1"/>
  <c r="AA98"/>
  <c r="Z98" s="1"/>
  <c r="Y98" s="1"/>
  <c r="AA90"/>
  <c r="Z90" s="1"/>
  <c r="Y90" s="1"/>
  <c r="AA82"/>
  <c r="Z82" s="1"/>
  <c r="Y82" s="1"/>
  <c r="AA74"/>
  <c r="Z74" s="1"/>
  <c r="Y74" s="1"/>
  <c r="AA66"/>
  <c r="Z66" s="1"/>
  <c r="Y66" s="1"/>
  <c r="AA58"/>
  <c r="Z58" s="1"/>
  <c r="Y58" s="1"/>
  <c r="AA50"/>
  <c r="Z50" s="1"/>
  <c r="Y50" s="1"/>
  <c r="AA46"/>
  <c r="W46" s="1"/>
  <c r="V46" s="1"/>
  <c r="AA41"/>
  <c r="W41" s="1"/>
  <c r="V41" s="1"/>
  <c r="AA37"/>
  <c r="Z37" s="1"/>
  <c r="Y37" s="1"/>
  <c r="AA33"/>
  <c r="W33" s="1"/>
  <c r="V33" s="1"/>
  <c r="AA29"/>
  <c r="Z29" s="1"/>
  <c r="Y29" s="1"/>
  <c r="AA25"/>
  <c r="W25" s="1"/>
  <c r="V25" s="1"/>
  <c r="AA21"/>
  <c r="Z21" s="1"/>
  <c r="Y21" s="1"/>
  <c r="AA17"/>
  <c r="W17" s="1"/>
  <c r="V17" s="1"/>
  <c r="AA13"/>
  <c r="Z13" s="1"/>
  <c r="Y13" s="1"/>
  <c r="AF197" i="13"/>
  <c r="AF194"/>
  <c r="AF193"/>
  <c r="AB193"/>
  <c r="V186" i="23"/>
  <c r="T146"/>
  <c r="V146"/>
  <c r="T179"/>
  <c r="V179"/>
  <c r="T167"/>
  <c r="V167"/>
  <c r="T31"/>
  <c r="V31"/>
  <c r="T129"/>
  <c r="V129"/>
  <c r="T134"/>
  <c r="V134"/>
  <c r="T20"/>
  <c r="V20"/>
  <c r="T46"/>
  <c r="V46"/>
  <c r="T103"/>
  <c r="V103"/>
  <c r="T137"/>
  <c r="V137"/>
  <c r="T39"/>
  <c r="V39"/>
  <c r="T114"/>
  <c r="V114"/>
  <c r="T132"/>
  <c r="V132"/>
  <c r="T177"/>
  <c r="V177"/>
  <c r="T122"/>
  <c r="V122"/>
  <c r="T98"/>
  <c r="V98"/>
  <c r="T33"/>
  <c r="V33"/>
  <c r="T15"/>
  <c r="V15"/>
  <c r="T12"/>
  <c r="V12"/>
  <c r="T159"/>
  <c r="V159"/>
  <c r="T140"/>
  <c r="V140"/>
  <c r="T17"/>
  <c r="V17"/>
  <c r="T175"/>
  <c r="V175"/>
  <c r="T62"/>
  <c r="V62"/>
  <c r="T93"/>
  <c r="V93"/>
  <c r="T165"/>
  <c r="V165"/>
  <c r="T88"/>
  <c r="V88"/>
  <c r="T127"/>
  <c r="V127"/>
  <c r="T133"/>
  <c r="V133"/>
  <c r="T172"/>
  <c r="V172"/>
  <c r="T32"/>
  <c r="V32"/>
  <c r="T95"/>
  <c r="V95"/>
  <c r="T109"/>
  <c r="V109"/>
  <c r="T152"/>
  <c r="V152"/>
  <c r="T82"/>
  <c r="V82"/>
  <c r="T83"/>
  <c r="V83"/>
  <c r="T74"/>
  <c r="V74"/>
  <c r="T160"/>
  <c r="V160"/>
  <c r="T29"/>
  <c r="V29"/>
  <c r="T117"/>
  <c r="V117"/>
  <c r="T60"/>
  <c r="V60"/>
  <c r="T110"/>
  <c r="V110"/>
  <c r="T6"/>
  <c r="V6"/>
  <c r="T100"/>
  <c r="V100"/>
  <c r="T145"/>
  <c r="V145"/>
  <c r="T154"/>
  <c r="V154"/>
  <c r="T85"/>
  <c r="V85"/>
  <c r="T169"/>
  <c r="V169"/>
  <c r="T181"/>
  <c r="V181"/>
  <c r="T87"/>
  <c r="V87"/>
  <c r="T115"/>
  <c r="V115"/>
  <c r="T131"/>
  <c r="V131"/>
  <c r="T171"/>
  <c r="V171"/>
  <c r="T9"/>
  <c r="V9"/>
  <c r="T108"/>
  <c r="V108"/>
  <c r="T143"/>
  <c r="V143"/>
  <c r="T123"/>
  <c r="V123"/>
  <c r="T63"/>
  <c r="V63"/>
  <c r="T44"/>
  <c r="V44"/>
  <c r="T153"/>
  <c r="V153"/>
  <c r="T25"/>
  <c r="V25"/>
  <c r="T72"/>
  <c r="V72"/>
  <c r="T164"/>
  <c r="V164"/>
  <c r="T30"/>
  <c r="V30"/>
  <c r="T96"/>
  <c r="V96"/>
  <c r="T162"/>
  <c r="V162"/>
  <c r="T35"/>
  <c r="V35"/>
  <c r="T80"/>
  <c r="V80"/>
  <c r="T150"/>
  <c r="V150"/>
  <c r="T14"/>
  <c r="V14"/>
  <c r="T81"/>
  <c r="V81"/>
  <c r="T113"/>
  <c r="V113"/>
  <c r="T168"/>
  <c r="V168"/>
  <c r="T180"/>
  <c r="V180"/>
  <c r="T41"/>
  <c r="V41"/>
  <c r="T86"/>
  <c r="V86"/>
  <c r="T106"/>
  <c r="V106"/>
  <c r="T130"/>
  <c r="V130"/>
  <c r="T135"/>
  <c r="V135"/>
  <c r="T8"/>
  <c r="V8"/>
  <c r="T24"/>
  <c r="V24"/>
  <c r="T58"/>
  <c r="V58"/>
  <c r="T107"/>
  <c r="V107"/>
  <c r="T142"/>
  <c r="V142"/>
  <c r="T121"/>
  <c r="V121"/>
  <c r="T166"/>
  <c r="V166"/>
  <c r="T99"/>
  <c r="V99"/>
  <c r="T120"/>
  <c r="V120"/>
  <c r="T19"/>
  <c r="V19"/>
  <c r="T163"/>
  <c r="V163"/>
  <c r="T68"/>
  <c r="V68"/>
  <c r="T136"/>
  <c r="V136"/>
  <c r="T26"/>
  <c r="V26"/>
  <c r="T161"/>
  <c r="V161"/>
  <c r="T92"/>
  <c r="V92"/>
  <c r="T34"/>
  <c r="V34"/>
  <c r="X77"/>
  <c r="T77"/>
  <c r="T94"/>
  <c r="X173"/>
  <c r="T173"/>
  <c r="T148"/>
  <c r="X79"/>
  <c r="T79"/>
  <c r="T149"/>
  <c r="T187"/>
  <c r="X69"/>
  <c r="T69"/>
  <c r="X56"/>
  <c r="T56"/>
  <c r="T16"/>
  <c r="X97"/>
  <c r="T97"/>
  <c r="X73"/>
  <c r="T73"/>
  <c r="X144"/>
  <c r="T144"/>
  <c r="T116"/>
  <c r="T37"/>
  <c r="T43"/>
  <c r="T52"/>
  <c r="T54"/>
  <c r="X47"/>
  <c r="T47"/>
  <c r="X76"/>
  <c r="T76"/>
  <c r="T101"/>
  <c r="X176"/>
  <c r="T176"/>
  <c r="X10"/>
  <c r="T10"/>
  <c r="T57"/>
  <c r="X119"/>
  <c r="T119"/>
  <c r="X139"/>
  <c r="T139"/>
  <c r="X78"/>
  <c r="T78"/>
  <c r="X11"/>
  <c r="T11"/>
  <c r="X178"/>
  <c r="T178"/>
  <c r="X75"/>
  <c r="T75"/>
  <c r="X64"/>
  <c r="T64"/>
  <c r="T118"/>
  <c r="T18"/>
  <c r="X65"/>
  <c r="T65"/>
  <c r="X155"/>
  <c r="T155"/>
  <c r="X66"/>
  <c r="T66"/>
  <c r="T104"/>
  <c r="T53"/>
  <c r="T48"/>
  <c r="T50"/>
  <c r="X174"/>
  <c r="T174"/>
  <c r="X112"/>
  <c r="T112"/>
  <c r="T170"/>
  <c r="T27"/>
  <c r="T28"/>
  <c r="X59"/>
  <c r="T59"/>
  <c r="X156"/>
  <c r="T156"/>
  <c r="T23"/>
  <c r="T125"/>
  <c r="T189"/>
  <c r="Z189" s="1"/>
  <c r="X157"/>
  <c r="T157"/>
  <c r="X21"/>
  <c r="T21"/>
  <c r="X71"/>
  <c r="T71"/>
  <c r="X42"/>
  <c r="T42"/>
  <c r="T7"/>
  <c r="T188"/>
  <c r="X67"/>
  <c r="T67"/>
  <c r="X183"/>
  <c r="T183"/>
  <c r="T61"/>
  <c r="X111"/>
  <c r="T111"/>
  <c r="X151"/>
  <c r="T151"/>
  <c r="X13"/>
  <c r="T13"/>
  <c r="T49"/>
  <c r="T38"/>
  <c r="X84"/>
  <c r="T84"/>
  <c r="T40"/>
  <c r="X126"/>
  <c r="T126"/>
  <c r="X45"/>
  <c r="T45"/>
  <c r="T128"/>
  <c r="T22"/>
  <c r="X5"/>
  <c r="T5"/>
  <c r="X70"/>
  <c r="T70"/>
  <c r="T102"/>
  <c r="X158"/>
  <c r="T158"/>
  <c r="X36"/>
  <c r="T36"/>
  <c r="T55"/>
  <c r="T105"/>
  <c r="T141"/>
  <c r="T91"/>
  <c r="T147"/>
  <c r="T182"/>
  <c r="T124"/>
  <c r="T51"/>
  <c r="X89"/>
  <c r="T89"/>
  <c r="X90"/>
  <c r="T90"/>
  <c r="X91"/>
  <c r="X140"/>
  <c r="X53"/>
  <c r="Z53" s="1"/>
  <c r="X23"/>
  <c r="X137"/>
  <c r="X39"/>
  <c r="X102"/>
  <c r="X118"/>
  <c r="X30"/>
  <c r="X122"/>
  <c r="X51"/>
  <c r="X153"/>
  <c r="X143"/>
  <c r="X31"/>
  <c r="X105"/>
  <c r="X123"/>
  <c r="X177"/>
  <c r="X49"/>
  <c r="X46"/>
  <c r="X55"/>
  <c r="X94"/>
  <c r="X72"/>
  <c r="X100"/>
  <c r="X50"/>
  <c r="X68"/>
  <c r="X48"/>
  <c r="X125"/>
  <c r="X44"/>
  <c r="X103"/>
  <c r="X121"/>
  <c r="X85"/>
  <c r="X170"/>
  <c r="X147"/>
  <c r="X6"/>
  <c r="X34"/>
  <c r="X162"/>
  <c r="X124"/>
  <c r="X110"/>
  <c r="X132"/>
  <c r="X62"/>
  <c r="X15"/>
  <c r="X35"/>
  <c r="AN64" i="13"/>
  <c r="C61" i="23" s="1"/>
  <c r="AN70" i="13"/>
  <c r="C67" i="23" s="1"/>
  <c r="AN68" i="13"/>
  <c r="C65" i="23" s="1"/>
  <c r="AN63" i="13"/>
  <c r="C60" i="23" s="1"/>
  <c r="AN52" i="13"/>
  <c r="C49" i="23" s="1"/>
  <c r="AN50" i="13"/>
  <c r="C47" i="23" s="1"/>
  <c r="AN47" i="13"/>
  <c r="C44" i="23" s="1"/>
  <c r="AN45" i="13"/>
  <c r="C42" i="23" s="1"/>
  <c r="AN43" i="13"/>
  <c r="C40" i="23" s="1"/>
  <c r="AN41" i="13"/>
  <c r="C38" i="23" s="1"/>
  <c r="AN39" i="13"/>
  <c r="C36" i="23" s="1"/>
  <c r="AN37" i="13"/>
  <c r="C34" i="23" s="1"/>
  <c r="AN35" i="13"/>
  <c r="C32" i="23" s="1"/>
  <c r="AN33" i="13"/>
  <c r="C30" i="23" s="1"/>
  <c r="AN31" i="13"/>
  <c r="C28" i="23" s="1"/>
  <c r="AN27" i="13"/>
  <c r="C24" i="23" s="1"/>
  <c r="AN26" i="13"/>
  <c r="C23" i="23" s="1"/>
  <c r="AN17" i="13"/>
  <c r="C14" i="23" s="1"/>
  <c r="AN15" i="13"/>
  <c r="C12" i="23" s="1"/>
  <c r="AG194" i="13"/>
  <c r="AN10"/>
  <c r="AC194"/>
  <c r="AC197"/>
  <c r="AN9"/>
  <c r="C6" i="23" s="1"/>
  <c r="AN66" i="13"/>
  <c r="C63" i="23" s="1"/>
  <c r="AN56" i="13"/>
  <c r="C53" i="23" s="1"/>
  <c r="AN29" i="13"/>
  <c r="C26" i="23" s="1"/>
  <c r="AN13" i="13"/>
  <c r="C10" i="23" s="1"/>
  <c r="AD194" i="13"/>
  <c r="AD197"/>
  <c r="X7" i="23"/>
  <c r="X61"/>
  <c r="X104"/>
  <c r="X96"/>
  <c r="AN72" i="13"/>
  <c r="C69" i="23" s="1"/>
  <c r="AN71" i="13"/>
  <c r="C68" i="23" s="1"/>
  <c r="AN62" i="13"/>
  <c r="C59" i="23" s="1"/>
  <c r="AN60" i="13"/>
  <c r="C57" i="23" s="1"/>
  <c r="AN54" i="13"/>
  <c r="C51" i="23" s="1"/>
  <c r="AN42" i="13"/>
  <c r="C39" i="23" s="1"/>
  <c r="AN34" i="13"/>
  <c r="C31" i="23" s="1"/>
  <c r="AN25" i="13"/>
  <c r="C22" i="23" s="1"/>
  <c r="AN23" i="13"/>
  <c r="C20" i="23" s="1"/>
  <c r="AN19" i="13"/>
  <c r="C16" i="23" s="1"/>
  <c r="AN18" i="13"/>
  <c r="C15" i="23" s="1"/>
  <c r="AE194" i="13"/>
  <c r="AE197"/>
  <c r="Z194"/>
  <c r="Z197"/>
  <c r="AN8"/>
  <c r="C5" i="23" s="1"/>
  <c r="X16"/>
  <c r="X98"/>
  <c r="X163"/>
  <c r="AN58" i="13"/>
  <c r="C55" i="23" s="1"/>
  <c r="AN55" i="13"/>
  <c r="C52" i="23" s="1"/>
  <c r="AN21" i="13"/>
  <c r="C18" i="23" s="1"/>
  <c r="AB197" i="13"/>
  <c r="AB194"/>
  <c r="X22" i="23"/>
  <c r="X52"/>
  <c r="X145"/>
  <c r="AG192" i="13"/>
  <c r="X128" i="23"/>
  <c r="X141"/>
  <c r="X159"/>
  <c r="X101"/>
  <c r="X80"/>
  <c r="X12"/>
  <c r="X116"/>
  <c r="X164"/>
  <c r="X37"/>
  <c r="X43"/>
  <c r="X166"/>
  <c r="X93"/>
  <c r="X106"/>
  <c r="X148"/>
  <c r="X60"/>
  <c r="X40"/>
  <c r="X88"/>
  <c r="X81"/>
  <c r="X152"/>
  <c r="X149"/>
  <c r="X160"/>
  <c r="X33"/>
  <c r="X29"/>
  <c r="X99"/>
  <c r="X25"/>
  <c r="AA56" i="13"/>
  <c r="AH56" s="1"/>
  <c r="AO56" s="1"/>
  <c r="AA52"/>
  <c r="AH52" s="1"/>
  <c r="AO52" s="1"/>
  <c r="C49" i="22" s="1"/>
  <c r="AA47" i="13"/>
  <c r="AH47" s="1"/>
  <c r="AO47" s="1"/>
  <c r="C44" i="22" s="1"/>
  <c r="AA43" i="13"/>
  <c r="AH43" s="1"/>
  <c r="AO43" s="1"/>
  <c r="C40" i="22" s="1"/>
  <c r="AA39" i="13"/>
  <c r="AH39" s="1"/>
  <c r="AO39" s="1"/>
  <c r="C36" i="22" s="1"/>
  <c r="AA35" i="13"/>
  <c r="AH35" s="1"/>
  <c r="AO35" s="1"/>
  <c r="C32" i="22" s="1"/>
  <c r="AA31" i="13"/>
  <c r="AH31" s="1"/>
  <c r="AO31" s="1"/>
  <c r="C28" i="22" s="1"/>
  <c r="AA27" i="13"/>
  <c r="AH27" s="1"/>
  <c r="AO27" s="1"/>
  <c r="C24" i="22" s="1"/>
  <c r="AA23" i="13"/>
  <c r="AH23" s="1"/>
  <c r="AO23" s="1"/>
  <c r="C20" i="22" s="1"/>
  <c r="AA19" i="13"/>
  <c r="AH19" s="1"/>
  <c r="AO19" s="1"/>
  <c r="C16" i="22" s="1"/>
  <c r="AA15" i="13"/>
  <c r="AH15" s="1"/>
  <c r="AO15" s="1"/>
  <c r="C12" i="22" s="1"/>
  <c r="AA10" i="13"/>
  <c r="AH10" s="1"/>
  <c r="AA57"/>
  <c r="AH57" s="1"/>
  <c r="AO57" s="1"/>
  <c r="C54" i="22" s="1"/>
  <c r="AA53" i="13"/>
  <c r="AH53" s="1"/>
  <c r="AO53" s="1"/>
  <c r="C50" i="22" s="1"/>
  <c r="AA49" i="13"/>
  <c r="AH49" s="1"/>
  <c r="AO49" s="1"/>
  <c r="C46" i="22" s="1"/>
  <c r="AA44" i="13"/>
  <c r="AH44" s="1"/>
  <c r="AO44" s="1"/>
  <c r="C41" i="22" s="1"/>
  <c r="AA40" i="13"/>
  <c r="AH40" s="1"/>
  <c r="AO40" s="1"/>
  <c r="C37" i="22" s="1"/>
  <c r="AA36" i="13"/>
  <c r="AH36" s="1"/>
  <c r="AO36" s="1"/>
  <c r="C33" i="22" s="1"/>
  <c r="AA32" i="13"/>
  <c r="AH32" s="1"/>
  <c r="AO32" s="1"/>
  <c r="C29" i="22" s="1"/>
  <c r="AA28" i="13"/>
  <c r="AH28" s="1"/>
  <c r="AO28" s="1"/>
  <c r="C25" i="22" s="1"/>
  <c r="AA24" i="13"/>
  <c r="AH24" s="1"/>
  <c r="AO24" s="1"/>
  <c r="C21" i="22" s="1"/>
  <c r="AA20" i="13"/>
  <c r="AH20" s="1"/>
  <c r="AO20" s="1"/>
  <c r="C17" i="22" s="1"/>
  <c r="AA16" i="13"/>
  <c r="AH16" s="1"/>
  <c r="AO16" s="1"/>
  <c r="C13" i="22" s="1"/>
  <c r="AA12" i="13"/>
  <c r="AH12" s="1"/>
  <c r="AO12" s="1"/>
  <c r="C9" i="22" s="1"/>
  <c r="AA58" i="13"/>
  <c r="AH58" s="1"/>
  <c r="AO58" s="1"/>
  <c r="C55" i="22" s="1"/>
  <c r="AA54" i="13"/>
  <c r="AH54" s="1"/>
  <c r="AO54" s="1"/>
  <c r="C51" i="22" s="1"/>
  <c r="AA50" i="13"/>
  <c r="AH50" s="1"/>
  <c r="AO50" s="1"/>
  <c r="C47" i="22" s="1"/>
  <c r="AA45" i="13"/>
  <c r="AH45" s="1"/>
  <c r="AO45" s="1"/>
  <c r="C42" i="22" s="1"/>
  <c r="AA41" i="13"/>
  <c r="AH41" s="1"/>
  <c r="AO41" s="1"/>
  <c r="C38" i="22" s="1"/>
  <c r="AA37" i="13"/>
  <c r="AH37" s="1"/>
  <c r="AO37" s="1"/>
  <c r="C34" i="22" s="1"/>
  <c r="AA33" i="13"/>
  <c r="AH33" s="1"/>
  <c r="AO33" s="1"/>
  <c r="C30" i="22" s="1"/>
  <c r="AA29" i="13"/>
  <c r="AH29" s="1"/>
  <c r="AO29" s="1"/>
  <c r="C26" i="22" s="1"/>
  <c r="AA25" i="13"/>
  <c r="AH25" s="1"/>
  <c r="AO25" s="1"/>
  <c r="C22" i="22" s="1"/>
  <c r="AA21" i="13"/>
  <c r="AH21" s="1"/>
  <c r="AO21" s="1"/>
  <c r="C18" i="22" s="1"/>
  <c r="AA17" i="13"/>
  <c r="AH17" s="1"/>
  <c r="AO17" s="1"/>
  <c r="C14" i="22" s="1"/>
  <c r="AA13" i="13"/>
  <c r="AH13" s="1"/>
  <c r="AO13" s="1"/>
  <c r="C10" i="22" s="1"/>
  <c r="AA8" i="13"/>
  <c r="AH8" s="1"/>
  <c r="AO8" s="1"/>
  <c r="C5" i="22" s="1"/>
  <c r="AA59" i="13"/>
  <c r="AH59" s="1"/>
  <c r="AO59" s="1"/>
  <c r="C56" i="22" s="1"/>
  <c r="AA55" i="13"/>
  <c r="AH55" s="1"/>
  <c r="AO55" s="1"/>
  <c r="C52" i="22" s="1"/>
  <c r="AA51" i="13"/>
  <c r="AH51" s="1"/>
  <c r="AO51" s="1"/>
  <c r="C48" i="22" s="1"/>
  <c r="AA46" i="13"/>
  <c r="AH46" s="1"/>
  <c r="AO46" s="1"/>
  <c r="C43" i="22" s="1"/>
  <c r="AA42" i="13"/>
  <c r="AH42" s="1"/>
  <c r="AO42" s="1"/>
  <c r="C39" i="22" s="1"/>
  <c r="AA38" i="13"/>
  <c r="AH38" s="1"/>
  <c r="AO38" s="1"/>
  <c r="C35" i="22" s="1"/>
  <c r="AA34" i="13"/>
  <c r="AH34" s="1"/>
  <c r="AO34" s="1"/>
  <c r="C31" i="22" s="1"/>
  <c r="AA30" i="13"/>
  <c r="AH30" s="1"/>
  <c r="AO30" s="1"/>
  <c r="C27" i="22" s="1"/>
  <c r="AA26" i="13"/>
  <c r="AH26" s="1"/>
  <c r="AO26" s="1"/>
  <c r="C23" i="22" s="1"/>
  <c r="AA22" i="13"/>
  <c r="AH22" s="1"/>
  <c r="AO22" s="1"/>
  <c r="C19" i="22" s="1"/>
  <c r="AA18" i="13"/>
  <c r="AH18" s="1"/>
  <c r="AO18" s="1"/>
  <c r="C15" i="22" s="1"/>
  <c r="AA14" i="13"/>
  <c r="AH14" s="1"/>
  <c r="AO14" s="1"/>
  <c r="C11" i="22" s="1"/>
  <c r="AA9" i="13"/>
  <c r="AH9" s="1"/>
  <c r="AO9" s="1"/>
  <c r="C6" i="22" s="1"/>
  <c r="AA192" i="13"/>
  <c r="AH192" s="1"/>
  <c r="AO192" s="1"/>
  <c r="C189" i="22" s="1"/>
  <c r="AA191" i="13"/>
  <c r="AH191" s="1"/>
  <c r="AO191" s="1"/>
  <c r="C188" i="22" s="1"/>
  <c r="AA190" i="13"/>
  <c r="AH190" s="1"/>
  <c r="AO190" s="1"/>
  <c r="C187" i="22" s="1"/>
  <c r="AA189" i="13"/>
  <c r="AH189" s="1"/>
  <c r="AO189" s="1"/>
  <c r="C186" i="22" s="1"/>
  <c r="AA188" i="13"/>
  <c r="AH188" s="1"/>
  <c r="AO188" s="1"/>
  <c r="C185" i="22" s="1"/>
  <c r="AA187" i="13"/>
  <c r="AH187" s="1"/>
  <c r="AO187" s="1"/>
  <c r="C184" i="22" s="1"/>
  <c r="AA186" i="13"/>
  <c r="AH186" s="1"/>
  <c r="AO186" s="1"/>
  <c r="C183" i="22" s="1"/>
  <c r="AA185" i="13"/>
  <c r="AH185" s="1"/>
  <c r="AO185" s="1"/>
  <c r="C182" i="22" s="1"/>
  <c r="AA184" i="13"/>
  <c r="AH184" s="1"/>
  <c r="AO184" s="1"/>
  <c r="C181" i="22" s="1"/>
  <c r="AA183" i="13"/>
  <c r="AH183" s="1"/>
  <c r="AO183" s="1"/>
  <c r="C180" i="22" s="1"/>
  <c r="AA182" i="13"/>
  <c r="AH182" s="1"/>
  <c r="AO182" s="1"/>
  <c r="C179" i="22" s="1"/>
  <c r="AA181" i="13"/>
  <c r="AH181" s="1"/>
  <c r="AO181" s="1"/>
  <c r="C178" i="22" s="1"/>
  <c r="AA180" i="13"/>
  <c r="AH180" s="1"/>
  <c r="AO180" s="1"/>
  <c r="C177" i="22" s="1"/>
  <c r="AA179" i="13"/>
  <c r="AH179" s="1"/>
  <c r="AO179" s="1"/>
  <c r="AA178"/>
  <c r="AH178" s="1"/>
  <c r="AO178" s="1"/>
  <c r="C175" i="22" s="1"/>
  <c r="AA177" i="13"/>
  <c r="AH177" s="1"/>
  <c r="AO177" s="1"/>
  <c r="AA176"/>
  <c r="AH176" s="1"/>
  <c r="AO176" s="1"/>
  <c r="C173" i="22" s="1"/>
  <c r="AA175" i="13"/>
  <c r="AH175" s="1"/>
  <c r="AO175" s="1"/>
  <c r="C172" i="22" s="1"/>
  <c r="AA174" i="13"/>
  <c r="AH174" s="1"/>
  <c r="AO174" s="1"/>
  <c r="C171" i="22" s="1"/>
  <c r="AA173" i="13"/>
  <c r="AH173" s="1"/>
  <c r="AO173" s="1"/>
  <c r="C170" i="22" s="1"/>
  <c r="AA172" i="13"/>
  <c r="AH172" s="1"/>
  <c r="AO172" s="1"/>
  <c r="C169" i="22" s="1"/>
  <c r="AA171" i="13"/>
  <c r="AH171" s="1"/>
  <c r="AO171" s="1"/>
  <c r="C168" i="22" s="1"/>
  <c r="AA170" i="13"/>
  <c r="AH170" s="1"/>
  <c r="AO170" s="1"/>
  <c r="C167" i="22" s="1"/>
  <c r="AA169" i="13"/>
  <c r="AH169" s="1"/>
  <c r="AO169" s="1"/>
  <c r="C166" i="22" s="1"/>
  <c r="AA168" i="13"/>
  <c r="AH168" s="1"/>
  <c r="AO168" s="1"/>
  <c r="C165" i="22" s="1"/>
  <c r="AA167" i="13"/>
  <c r="AH167" s="1"/>
  <c r="AO167" s="1"/>
  <c r="C164" i="22" s="1"/>
  <c r="AA166" i="13"/>
  <c r="AH166" s="1"/>
  <c r="AO166" s="1"/>
  <c r="C163" i="22" s="1"/>
  <c r="AA165" i="13"/>
  <c r="AH165" s="1"/>
  <c r="AO165" s="1"/>
  <c r="C162" i="22" s="1"/>
  <c r="AA164" i="13"/>
  <c r="AH164" s="1"/>
  <c r="AO164" s="1"/>
  <c r="C161" i="22" s="1"/>
  <c r="AA163" i="13"/>
  <c r="AH163" s="1"/>
  <c r="AO163" s="1"/>
  <c r="C160" i="22" s="1"/>
  <c r="AA162" i="13"/>
  <c r="AH162" s="1"/>
  <c r="AO162" s="1"/>
  <c r="C159" i="22" s="1"/>
  <c r="AA161" i="13"/>
  <c r="AH161" s="1"/>
  <c r="AO161" s="1"/>
  <c r="C158" i="22" s="1"/>
  <c r="AA160" i="13"/>
  <c r="AH160" s="1"/>
  <c r="AO160" s="1"/>
  <c r="C157" i="22" s="1"/>
  <c r="AA159" i="13"/>
  <c r="AH159" s="1"/>
  <c r="AO159" s="1"/>
  <c r="C156" i="22" s="1"/>
  <c r="AA158" i="13"/>
  <c r="AH158" s="1"/>
  <c r="AO158" s="1"/>
  <c r="C155" i="22" s="1"/>
  <c r="AA157" i="13"/>
  <c r="AH157" s="1"/>
  <c r="AO157" s="1"/>
  <c r="C154" i="22" s="1"/>
  <c r="AA156" i="13"/>
  <c r="AH156" s="1"/>
  <c r="AO156" s="1"/>
  <c r="C153" i="22" s="1"/>
  <c r="AA155" i="13"/>
  <c r="AH155" s="1"/>
  <c r="AO155" s="1"/>
  <c r="C152" i="22" s="1"/>
  <c r="AA154" i="13"/>
  <c r="AH154" s="1"/>
  <c r="AO154" s="1"/>
  <c r="C151" i="22" s="1"/>
  <c r="AA153" i="13"/>
  <c r="AH153" s="1"/>
  <c r="AO153" s="1"/>
  <c r="C150" i="22" s="1"/>
  <c r="AA152" i="13"/>
  <c r="AH152" s="1"/>
  <c r="AO152" s="1"/>
  <c r="C149" i="22" s="1"/>
  <c r="AA151" i="13"/>
  <c r="AH151" s="1"/>
  <c r="AO151" s="1"/>
  <c r="C148" i="22" s="1"/>
  <c r="AA150" i="13"/>
  <c r="AH150" s="1"/>
  <c r="AO150" s="1"/>
  <c r="AA149"/>
  <c r="AH149" s="1"/>
  <c r="AO149" s="1"/>
  <c r="C146" i="22" s="1"/>
  <c r="AA148" i="13"/>
  <c r="AH148" s="1"/>
  <c r="AO148" s="1"/>
  <c r="C145" i="22" s="1"/>
  <c r="AA147" i="13"/>
  <c r="AH147" s="1"/>
  <c r="AO147" s="1"/>
  <c r="C144" i="22" s="1"/>
  <c r="AA146" i="13"/>
  <c r="AH146" s="1"/>
  <c r="AO146" s="1"/>
  <c r="C143" i="22" s="1"/>
  <c r="AA145" i="13"/>
  <c r="AH145" s="1"/>
  <c r="AO145" s="1"/>
  <c r="C142" i="22" s="1"/>
  <c r="AA144" i="13"/>
  <c r="AH144" s="1"/>
  <c r="AO144" s="1"/>
  <c r="C141" i="22" s="1"/>
  <c r="AA143" i="13"/>
  <c r="AH143" s="1"/>
  <c r="AO143" s="1"/>
  <c r="C140" i="22" s="1"/>
  <c r="AA142" i="13"/>
  <c r="AH142" s="1"/>
  <c r="AO142" s="1"/>
  <c r="C139" i="22" s="1"/>
  <c r="AA140" i="13"/>
  <c r="AH140" s="1"/>
  <c r="AO140" s="1"/>
  <c r="C137" i="22" s="1"/>
  <c r="AA139" i="13"/>
  <c r="AH139" s="1"/>
  <c r="AO139" s="1"/>
  <c r="C136" i="22" s="1"/>
  <c r="AA138" i="13"/>
  <c r="AH138" s="1"/>
  <c r="AO138" s="1"/>
  <c r="C135" i="22" s="1"/>
  <c r="AA137" i="13"/>
  <c r="AH137" s="1"/>
  <c r="AO137" s="1"/>
  <c r="C134" i="22" s="1"/>
  <c r="AA136" i="13"/>
  <c r="AH136" s="1"/>
  <c r="AO136" s="1"/>
  <c r="C133" i="22" s="1"/>
  <c r="AA135" i="13"/>
  <c r="AH135" s="1"/>
  <c r="AO135" s="1"/>
  <c r="C132" i="22" s="1"/>
  <c r="AA134" i="13"/>
  <c r="AH134" s="1"/>
  <c r="AO134" s="1"/>
  <c r="C131" i="22" s="1"/>
  <c r="AA133" i="13"/>
  <c r="AH133" s="1"/>
  <c r="AO133" s="1"/>
  <c r="C130" i="22" s="1"/>
  <c r="AA132" i="13"/>
  <c r="AH132" s="1"/>
  <c r="AO132" s="1"/>
  <c r="C129" i="22" s="1"/>
  <c r="AA131" i="13"/>
  <c r="AH131" s="1"/>
  <c r="AO131" s="1"/>
  <c r="C128" i="22" s="1"/>
  <c r="AA130" i="13"/>
  <c r="AH130" s="1"/>
  <c r="AO130" s="1"/>
  <c r="C127" i="22" s="1"/>
  <c r="AA129" i="13"/>
  <c r="AH129" s="1"/>
  <c r="AO129" s="1"/>
  <c r="C126" i="22" s="1"/>
  <c r="AA128" i="13"/>
  <c r="AH128" s="1"/>
  <c r="AO128" s="1"/>
  <c r="C125" i="22" s="1"/>
  <c r="AA127" i="13"/>
  <c r="AH127" s="1"/>
  <c r="AO127" s="1"/>
  <c r="C124" i="22" s="1"/>
  <c r="AA126" i="13"/>
  <c r="AH126" s="1"/>
  <c r="AO126" s="1"/>
  <c r="C123" i="22" s="1"/>
  <c r="AA125" i="13"/>
  <c r="AH125" s="1"/>
  <c r="AO125" s="1"/>
  <c r="C122" i="22" s="1"/>
  <c r="AA124" i="13"/>
  <c r="AH124" s="1"/>
  <c r="AO124" s="1"/>
  <c r="C121" i="22" s="1"/>
  <c r="AA123" i="13"/>
  <c r="AH123" s="1"/>
  <c r="AO123" s="1"/>
  <c r="C120" i="22" s="1"/>
  <c r="AA122" i="13"/>
  <c r="AH122" s="1"/>
  <c r="AO122" s="1"/>
  <c r="C119" i="22" s="1"/>
  <c r="AA121" i="13"/>
  <c r="AH121" s="1"/>
  <c r="AO121" s="1"/>
  <c r="C118" i="22" s="1"/>
  <c r="AA120" i="13"/>
  <c r="AH120" s="1"/>
  <c r="AO120" s="1"/>
  <c r="C117" i="22" s="1"/>
  <c r="AA119" i="13"/>
  <c r="AH119" s="1"/>
  <c r="AO119" s="1"/>
  <c r="C116" i="22" s="1"/>
  <c r="AA118" i="13"/>
  <c r="AH118" s="1"/>
  <c r="AO118" s="1"/>
  <c r="C115" i="22" s="1"/>
  <c r="AA117" i="13"/>
  <c r="AH117" s="1"/>
  <c r="AA116"/>
  <c r="AH116" s="1"/>
  <c r="AO116" s="1"/>
  <c r="C113" i="22" s="1"/>
  <c r="AA115" i="13"/>
  <c r="AH115" s="1"/>
  <c r="AO115" s="1"/>
  <c r="C112" i="22" s="1"/>
  <c r="AA114" i="13"/>
  <c r="AH114" s="1"/>
  <c r="AO114" s="1"/>
  <c r="C111" i="22" s="1"/>
  <c r="AA113" i="13"/>
  <c r="AH113" s="1"/>
  <c r="AO113" s="1"/>
  <c r="C110" i="22" s="1"/>
  <c r="AA112" i="13"/>
  <c r="AH112" s="1"/>
  <c r="AO112" s="1"/>
  <c r="C109" i="22" s="1"/>
  <c r="AA111" i="13"/>
  <c r="AH111" s="1"/>
  <c r="AO111" s="1"/>
  <c r="C108" i="22" s="1"/>
  <c r="AA110" i="13"/>
  <c r="AH110" s="1"/>
  <c r="AO110" s="1"/>
  <c r="C107" i="22" s="1"/>
  <c r="AA109" i="13"/>
  <c r="AH109" s="1"/>
  <c r="AO109" s="1"/>
  <c r="C106" i="22" s="1"/>
  <c r="AA108" i="13"/>
  <c r="AH108" s="1"/>
  <c r="AO108" s="1"/>
  <c r="C105" i="22" s="1"/>
  <c r="AA107" i="13"/>
  <c r="AH107" s="1"/>
  <c r="AO107" s="1"/>
  <c r="C104" i="22" s="1"/>
  <c r="AA106" i="13"/>
  <c r="AH106" s="1"/>
  <c r="AO106" s="1"/>
  <c r="C103" i="22" s="1"/>
  <c r="AA105" i="13"/>
  <c r="AH105" s="1"/>
  <c r="AO105" s="1"/>
  <c r="C102" i="22" s="1"/>
  <c r="AA104" i="13"/>
  <c r="AH104" s="1"/>
  <c r="AO104" s="1"/>
  <c r="C101" i="22" s="1"/>
  <c r="AA103" i="13"/>
  <c r="AH103" s="1"/>
  <c r="AO103" s="1"/>
  <c r="C100" i="22" s="1"/>
  <c r="AA102" i="13"/>
  <c r="AH102" s="1"/>
  <c r="AO102" s="1"/>
  <c r="C99" i="22" s="1"/>
  <c r="AA101" i="13"/>
  <c r="AH101" s="1"/>
  <c r="AO101" s="1"/>
  <c r="C98" i="22" s="1"/>
  <c r="AA100" i="13"/>
  <c r="AH100" s="1"/>
  <c r="AO100" s="1"/>
  <c r="C97" i="22" s="1"/>
  <c r="AA99" i="13"/>
  <c r="AH99" s="1"/>
  <c r="AO99" s="1"/>
  <c r="AA98"/>
  <c r="AH98" s="1"/>
  <c r="AO98" s="1"/>
  <c r="C95" i="22" s="1"/>
  <c r="AA97" i="13"/>
  <c r="AH97" s="1"/>
  <c r="AO97" s="1"/>
  <c r="C94" i="22" s="1"/>
  <c r="AA96" i="13"/>
  <c r="AH96" s="1"/>
  <c r="AO96" s="1"/>
  <c r="C93" i="22" s="1"/>
  <c r="AA95" i="13"/>
  <c r="AH95" s="1"/>
  <c r="AO95" s="1"/>
  <c r="C92" i="22" s="1"/>
  <c r="AA94" i="13"/>
  <c r="AH94" s="1"/>
  <c r="AO94" s="1"/>
  <c r="C91" i="22" s="1"/>
  <c r="AA93" i="13"/>
  <c r="AH93" s="1"/>
  <c r="AO93" s="1"/>
  <c r="C90" i="22" s="1"/>
  <c r="AA92" i="13"/>
  <c r="AH92" s="1"/>
  <c r="AO92" s="1"/>
  <c r="C89" i="22" s="1"/>
  <c r="AA91" i="13"/>
  <c r="AH91" s="1"/>
  <c r="AO91" s="1"/>
  <c r="C88" i="22" s="1"/>
  <c r="AA90" i="13"/>
  <c r="AH90" s="1"/>
  <c r="AO90" s="1"/>
  <c r="C87" i="22" s="1"/>
  <c r="AA89" i="13"/>
  <c r="AH89" s="1"/>
  <c r="AO89" s="1"/>
  <c r="C86" i="22" s="1"/>
  <c r="AA88" i="13"/>
  <c r="AH88" s="1"/>
  <c r="AO88" s="1"/>
  <c r="C85" i="22" s="1"/>
  <c r="AA87" i="13"/>
  <c r="AH87" s="1"/>
  <c r="AO87" s="1"/>
  <c r="C84" i="22" s="1"/>
  <c r="AA86" i="13"/>
  <c r="AH86" s="1"/>
  <c r="AO86" s="1"/>
  <c r="C83" i="22" s="1"/>
  <c r="AA85" i="13"/>
  <c r="AH85" s="1"/>
  <c r="AO85" s="1"/>
  <c r="C82" i="22" s="1"/>
  <c r="AA84" i="13"/>
  <c r="AH84" s="1"/>
  <c r="AO84" s="1"/>
  <c r="C81" i="22" s="1"/>
  <c r="AA83" i="13"/>
  <c r="AH83" s="1"/>
  <c r="AO83" s="1"/>
  <c r="C80" i="22" s="1"/>
  <c r="AA82" i="13"/>
  <c r="AH82" s="1"/>
  <c r="AO82" s="1"/>
  <c r="C79" i="22" s="1"/>
  <c r="AA81" i="13"/>
  <c r="AH81" s="1"/>
  <c r="AO81" s="1"/>
  <c r="C78" i="22" s="1"/>
  <c r="AA80" i="13"/>
  <c r="AH80" s="1"/>
  <c r="AO80" s="1"/>
  <c r="C77" i="22" s="1"/>
  <c r="AA79" i="13"/>
  <c r="AH79" s="1"/>
  <c r="AO79" s="1"/>
  <c r="C76" i="22" s="1"/>
  <c r="AA78" i="13"/>
  <c r="AH78" s="1"/>
  <c r="AO78" s="1"/>
  <c r="C75" i="22" s="1"/>
  <c r="AA77" i="13"/>
  <c r="AH77" s="1"/>
  <c r="AO77" s="1"/>
  <c r="C74" i="22" s="1"/>
  <c r="AA76" i="13"/>
  <c r="AH76" s="1"/>
  <c r="AO76" s="1"/>
  <c r="C73" i="22" s="1"/>
  <c r="AA75" i="13"/>
  <c r="AH75" s="1"/>
  <c r="AO75" s="1"/>
  <c r="C72" i="22" s="1"/>
  <c r="AA74" i="13"/>
  <c r="AH74" s="1"/>
  <c r="AO74" s="1"/>
  <c r="C71" i="22" s="1"/>
  <c r="AA73" i="13"/>
  <c r="AH73" s="1"/>
  <c r="AO73" s="1"/>
  <c r="C70" i="22" s="1"/>
  <c r="AA72" i="13"/>
  <c r="AH72" s="1"/>
  <c r="AO72" s="1"/>
  <c r="C69" i="22" s="1"/>
  <c r="AA71" i="13"/>
  <c r="AH71" s="1"/>
  <c r="AO71" s="1"/>
  <c r="C68" i="22" s="1"/>
  <c r="AA70" i="13"/>
  <c r="AH70" s="1"/>
  <c r="AO70" s="1"/>
  <c r="C67" i="22" s="1"/>
  <c r="AA69" i="13"/>
  <c r="AH69" s="1"/>
  <c r="AO69" s="1"/>
  <c r="C66" i="22" s="1"/>
  <c r="AA68" i="13"/>
  <c r="AH68" s="1"/>
  <c r="AO68" s="1"/>
  <c r="C65" i="22" s="1"/>
  <c r="AA67" i="13"/>
  <c r="AH67" s="1"/>
  <c r="AO67" s="1"/>
  <c r="C64" i="22" s="1"/>
  <c r="AA66" i="13"/>
  <c r="AH66" s="1"/>
  <c r="AO66" s="1"/>
  <c r="C63" i="22" s="1"/>
  <c r="AA65" i="13"/>
  <c r="AH65" s="1"/>
  <c r="AO65" s="1"/>
  <c r="C62" i="22" s="1"/>
  <c r="AA64" i="13"/>
  <c r="AH64" s="1"/>
  <c r="AO64" s="1"/>
  <c r="C61" i="22" s="1"/>
  <c r="AA63" i="13"/>
  <c r="AH63" s="1"/>
  <c r="AO63" s="1"/>
  <c r="C60" i="22" s="1"/>
  <c r="AA62" i="13"/>
  <c r="AH62" s="1"/>
  <c r="AO62" s="1"/>
  <c r="C59" i="22" s="1"/>
  <c r="AA61" i="13"/>
  <c r="AH61" s="1"/>
  <c r="AO61" s="1"/>
  <c r="C58" i="22" s="1"/>
  <c r="AA60" i="13"/>
  <c r="AH60" s="1"/>
  <c r="AO60" s="1"/>
  <c r="C57" i="22" s="1"/>
  <c r="X74" i="23"/>
  <c r="X114"/>
  <c r="X63"/>
  <c r="X146"/>
  <c r="X165"/>
  <c r="X87"/>
  <c r="X115"/>
  <c r="X129"/>
  <c r="X134"/>
  <c r="X171"/>
  <c r="X32"/>
  <c r="X28"/>
  <c r="X27"/>
  <c r="X113"/>
  <c r="X169"/>
  <c r="X41"/>
  <c r="X86"/>
  <c r="X127"/>
  <c r="X133"/>
  <c r="X9"/>
  <c r="X109"/>
  <c r="X154"/>
  <c r="X179"/>
  <c r="X168"/>
  <c r="X181"/>
  <c r="X131"/>
  <c r="X8"/>
  <c r="X24"/>
  <c r="X58"/>
  <c r="X108"/>
  <c r="X142"/>
  <c r="X150"/>
  <c r="X175"/>
  <c r="X167"/>
  <c r="X180"/>
  <c r="X130"/>
  <c r="X135"/>
  <c r="X172"/>
  <c r="X95"/>
  <c r="X107"/>
  <c r="AN38" i="12"/>
  <c r="AL38"/>
  <c r="M18" i="21" s="1"/>
  <c r="M23" s="1"/>
  <c r="AM38" i="12"/>
  <c r="N18" i="21" s="1"/>
  <c r="T7" i="13"/>
  <c r="X4" i="22" s="1"/>
  <c r="M7" i="13"/>
  <c r="M196" s="1"/>
  <c r="F7"/>
  <c r="F196" s="1"/>
  <c r="F7" i="27"/>
  <c r="E6"/>
  <c r="AJ9" i="12"/>
  <c r="AK9"/>
  <c r="AJ10"/>
  <c r="G49" i="25" s="1"/>
  <c r="AK10" i="12"/>
  <c r="AJ11"/>
  <c r="G50" i="25" s="1"/>
  <c r="AK11" i="12"/>
  <c r="AJ12"/>
  <c r="G51" i="25" s="1"/>
  <c r="AK12" i="12"/>
  <c r="AJ13"/>
  <c r="G52" i="25" s="1"/>
  <c r="AK13" i="12"/>
  <c r="AJ14"/>
  <c r="G53" i="25" s="1"/>
  <c r="AK14" i="12"/>
  <c r="AJ15"/>
  <c r="G54" i="25" s="1"/>
  <c r="AK15" i="12"/>
  <c r="AJ16"/>
  <c r="G55" i="25" s="1"/>
  <c r="AK16" i="12"/>
  <c r="AJ17"/>
  <c r="G56" i="25" s="1"/>
  <c r="AK17" i="12"/>
  <c r="AJ18"/>
  <c r="G57" i="25" s="1"/>
  <c r="AK18" i="12"/>
  <c r="AJ19"/>
  <c r="G58" i="25" s="1"/>
  <c r="AK19" i="12"/>
  <c r="AJ20"/>
  <c r="G59" i="25" s="1"/>
  <c r="AK20" i="12"/>
  <c r="AJ21"/>
  <c r="G60" i="25" s="1"/>
  <c r="AK21" i="12"/>
  <c r="AJ22"/>
  <c r="G61" i="25" s="1"/>
  <c r="AK22" i="12"/>
  <c r="AJ23"/>
  <c r="G62" i="25" s="1"/>
  <c r="AK23" i="12"/>
  <c r="AJ24"/>
  <c r="G63" i="25" s="1"/>
  <c r="AK24" i="12"/>
  <c r="AJ25"/>
  <c r="G64" i="25" s="1"/>
  <c r="AK25" i="12"/>
  <c r="AJ26"/>
  <c r="G65" i="25" s="1"/>
  <c r="AK26" i="12"/>
  <c r="AJ27"/>
  <c r="G66" i="25" s="1"/>
  <c r="AK27" i="12"/>
  <c r="AJ28"/>
  <c r="G67" i="25" s="1"/>
  <c r="AK28" i="12"/>
  <c r="AJ29"/>
  <c r="G68" i="25" s="1"/>
  <c r="AK29" i="12"/>
  <c r="AJ30"/>
  <c r="G69" i="25" s="1"/>
  <c r="AK30" i="12"/>
  <c r="AJ31"/>
  <c r="G70" i="25" s="1"/>
  <c r="AK31" i="12"/>
  <c r="AJ32"/>
  <c r="G71" i="25" s="1"/>
  <c r="AK32" i="12"/>
  <c r="AJ33"/>
  <c r="G72" i="25" s="1"/>
  <c r="AK33" i="12"/>
  <c r="AJ34"/>
  <c r="G73" i="25" s="1"/>
  <c r="AK34" i="12"/>
  <c r="AJ35"/>
  <c r="G74" i="25" s="1"/>
  <c r="AK35" i="12"/>
  <c r="AJ36"/>
  <c r="G75" i="25" s="1"/>
  <c r="AK36" i="12"/>
  <c r="AJ37"/>
  <c r="G76" i="25" s="1"/>
  <c r="AK37" i="12"/>
  <c r="Q37"/>
  <c r="Q36"/>
  <c r="I76" i="24" s="1"/>
  <c r="Q35" i="12"/>
  <c r="Q34"/>
  <c r="I74" i="24" s="1"/>
  <c r="Q33" i="12"/>
  <c r="Q32"/>
  <c r="I72" i="24" s="1"/>
  <c r="Q31" i="12"/>
  <c r="Q30"/>
  <c r="I70" i="24" s="1"/>
  <c r="Q29" i="12"/>
  <c r="Q28"/>
  <c r="I68" i="24" s="1"/>
  <c r="Q27" i="12"/>
  <c r="Q26"/>
  <c r="I66" i="24" s="1"/>
  <c r="Q25" i="12"/>
  <c r="Q24"/>
  <c r="I64" i="24" s="1"/>
  <c r="Q23" i="12"/>
  <c r="Q22"/>
  <c r="I62" i="24" s="1"/>
  <c r="Q21" i="12"/>
  <c r="I61" i="24" s="1"/>
  <c r="Q20" i="12"/>
  <c r="I60" i="24" s="1"/>
  <c r="Q19" i="12"/>
  <c r="I59" i="24" s="1"/>
  <c r="Q18" i="12"/>
  <c r="I58" i="24" s="1"/>
  <c r="Q17" i="12"/>
  <c r="I57" i="24" s="1"/>
  <c r="Q16" i="12"/>
  <c r="I56" i="24" s="1"/>
  <c r="Q15" i="12"/>
  <c r="I55" i="24" s="1"/>
  <c r="Q14" i="12"/>
  <c r="I54" i="24" s="1"/>
  <c r="Q13" i="12"/>
  <c r="Q12"/>
  <c r="I52" i="24" s="1"/>
  <c r="Q11" i="12"/>
  <c r="I51" i="24" s="1"/>
  <c r="Q10" i="12"/>
  <c r="I50" i="24" s="1"/>
  <c r="Q9" i="12"/>
  <c r="Q8"/>
  <c r="Q7"/>
  <c r="J37"/>
  <c r="J36"/>
  <c r="J35"/>
  <c r="J34"/>
  <c r="J33"/>
  <c r="J32"/>
  <c r="J31"/>
  <c r="J30"/>
  <c r="J29"/>
  <c r="J28"/>
  <c r="J27"/>
  <c r="J26"/>
  <c r="J25"/>
  <c r="J24"/>
  <c r="J23"/>
  <c r="J22"/>
  <c r="J21"/>
  <c r="J20"/>
  <c r="J19"/>
  <c r="J18"/>
  <c r="J17"/>
  <c r="J16"/>
  <c r="J15"/>
  <c r="J14"/>
  <c r="J13"/>
  <c r="J12"/>
  <c r="J11"/>
  <c r="J10"/>
  <c r="J8"/>
  <c r="J7"/>
  <c r="C8"/>
  <c r="C49" i="24"/>
  <c r="C10" i="12"/>
  <c r="C12"/>
  <c r="C13"/>
  <c r="C14"/>
  <c r="C15"/>
  <c r="C16"/>
  <c r="C17"/>
  <c r="C18"/>
  <c r="C19"/>
  <c r="C20"/>
  <c r="C21"/>
  <c r="C22"/>
  <c r="C23"/>
  <c r="C24"/>
  <c r="C25"/>
  <c r="C26"/>
  <c r="C27"/>
  <c r="C28"/>
  <c r="C29"/>
  <c r="C30"/>
  <c r="C31"/>
  <c r="C32"/>
  <c r="C33"/>
  <c r="C34"/>
  <c r="C35"/>
  <c r="C36"/>
  <c r="C37"/>
  <c r="C7"/>
  <c r="I11" i="35"/>
  <c r="I16"/>
  <c r="I21"/>
  <c r="I6"/>
  <c r="I49" i="24" l="1"/>
  <c r="X9" i="12"/>
  <c r="AE9" s="1"/>
  <c r="AP9" s="1"/>
  <c r="G48" i="25"/>
  <c r="AO9" i="12"/>
  <c r="C176" i="22"/>
  <c r="C147"/>
  <c r="Z38" i="23"/>
  <c r="C174" i="22"/>
  <c r="W119"/>
  <c r="V119" s="1"/>
  <c r="W183"/>
  <c r="V183" s="1"/>
  <c r="C96"/>
  <c r="Z154"/>
  <c r="Y154" s="1"/>
  <c r="W165"/>
  <c r="V165" s="1"/>
  <c r="W99"/>
  <c r="V99" s="1"/>
  <c r="T118"/>
  <c r="S118" s="1"/>
  <c r="T125"/>
  <c r="S125" s="1"/>
  <c r="W72"/>
  <c r="V72" s="1"/>
  <c r="W47"/>
  <c r="V47" s="1"/>
  <c r="T61"/>
  <c r="S61" s="1"/>
  <c r="Z179"/>
  <c r="Y179" s="1"/>
  <c r="W125"/>
  <c r="V125" s="1"/>
  <c r="Z128" i="23"/>
  <c r="W136" i="22"/>
  <c r="V136" s="1"/>
  <c r="W15"/>
  <c r="V15" s="1"/>
  <c r="W79"/>
  <c r="V79" s="1"/>
  <c r="W160"/>
  <c r="V160" s="1"/>
  <c r="W118"/>
  <c r="V118" s="1"/>
  <c r="AB118" s="1"/>
  <c r="T54"/>
  <c r="S54" s="1"/>
  <c r="W61"/>
  <c r="V61" s="1"/>
  <c r="AB61" s="1"/>
  <c r="Z72"/>
  <c r="Y72" s="1"/>
  <c r="W124"/>
  <c r="V124" s="1"/>
  <c r="T15"/>
  <c r="S15" s="1"/>
  <c r="AB15" s="1"/>
  <c r="W63"/>
  <c r="V63" s="1"/>
  <c r="W144"/>
  <c r="V144" s="1"/>
  <c r="Z79"/>
  <c r="Y79" s="1"/>
  <c r="W67"/>
  <c r="V67" s="1"/>
  <c r="W103"/>
  <c r="V103" s="1"/>
  <c r="Z27"/>
  <c r="Y27" s="1"/>
  <c r="Z184" i="23"/>
  <c r="T127" i="22"/>
  <c r="S127" s="1"/>
  <c r="Z88"/>
  <c r="Y88" s="1"/>
  <c r="Z174"/>
  <c r="Y174" s="1"/>
  <c r="T94"/>
  <c r="S94" s="1"/>
  <c r="Z126"/>
  <c r="Y126" s="1"/>
  <c r="W27"/>
  <c r="V27" s="1"/>
  <c r="W94"/>
  <c r="V94" s="1"/>
  <c r="Z67"/>
  <c r="Y67" s="1"/>
  <c r="Z176"/>
  <c r="Y176" s="1"/>
  <c r="W101"/>
  <c r="V101" s="1"/>
  <c r="Z101"/>
  <c r="Y101" s="1"/>
  <c r="T62"/>
  <c r="S62" s="1"/>
  <c r="W88"/>
  <c r="V88" s="1"/>
  <c r="W51"/>
  <c r="V51" s="1"/>
  <c r="W83"/>
  <c r="V83" s="1"/>
  <c r="W127"/>
  <c r="V127" s="1"/>
  <c r="T162"/>
  <c r="S162" s="1"/>
  <c r="W86"/>
  <c r="V86" s="1"/>
  <c r="W159"/>
  <c r="V159" s="1"/>
  <c r="T47"/>
  <c r="S47" s="1"/>
  <c r="Z63"/>
  <c r="Y63" s="1"/>
  <c r="Z103"/>
  <c r="Y103" s="1"/>
  <c r="AB103" s="1"/>
  <c r="W93"/>
  <c r="V93" s="1"/>
  <c r="W162"/>
  <c r="V162" s="1"/>
  <c r="Z160"/>
  <c r="Y160" s="1"/>
  <c r="Z69"/>
  <c r="Y69" s="1"/>
  <c r="Z153"/>
  <c r="Y153" s="1"/>
  <c r="C53"/>
  <c r="AP56" i="13"/>
  <c r="Z18" i="23"/>
  <c r="W80" i="22"/>
  <c r="V80" s="1"/>
  <c r="W153"/>
  <c r="V153" s="1"/>
  <c r="W11"/>
  <c r="V11" s="1"/>
  <c r="T86"/>
  <c r="S86" s="1"/>
  <c r="AB86" s="1"/>
  <c r="W172"/>
  <c r="V172" s="1"/>
  <c r="T93"/>
  <c r="S93" s="1"/>
  <c r="W54"/>
  <c r="V54" s="1"/>
  <c r="AB54" s="1"/>
  <c r="W151"/>
  <c r="V151" s="1"/>
  <c r="AB8"/>
  <c r="Z99"/>
  <c r="Y99" s="1"/>
  <c r="W69"/>
  <c r="V69" s="1"/>
  <c r="W133"/>
  <c r="V133" s="1"/>
  <c r="Z119"/>
  <c r="Y119" s="1"/>
  <c r="Z159"/>
  <c r="Y159" s="1"/>
  <c r="Z136"/>
  <c r="Y136" s="1"/>
  <c r="AB45"/>
  <c r="C7" i="23"/>
  <c r="W174" i="22"/>
  <c r="V174" s="1"/>
  <c r="Z151"/>
  <c r="Y151" s="1"/>
  <c r="Z144"/>
  <c r="Y144" s="1"/>
  <c r="W14"/>
  <c r="V14" s="1"/>
  <c r="Z57" i="23"/>
  <c r="W56" i="22"/>
  <c r="V56" s="1"/>
  <c r="W156"/>
  <c r="V156" s="1"/>
  <c r="W34"/>
  <c r="V34" s="1"/>
  <c r="W143"/>
  <c r="V143" s="1"/>
  <c r="W31"/>
  <c r="V31" s="1"/>
  <c r="W176"/>
  <c r="V176" s="1"/>
  <c r="W26"/>
  <c r="V26" s="1"/>
  <c r="W62"/>
  <c r="V62" s="1"/>
  <c r="W126"/>
  <c r="V126" s="1"/>
  <c r="T77"/>
  <c r="S77" s="1"/>
  <c r="Z51"/>
  <c r="Y51" s="1"/>
  <c r="Z83"/>
  <c r="Y83" s="1"/>
  <c r="Z172"/>
  <c r="Y172" s="1"/>
  <c r="Z133"/>
  <c r="Y133" s="1"/>
  <c r="AP125" i="13"/>
  <c r="Z38" i="22"/>
  <c r="Y38" s="1"/>
  <c r="Z75"/>
  <c r="Y75" s="1"/>
  <c r="W43"/>
  <c r="V43" s="1"/>
  <c r="AP85" i="13"/>
  <c r="AP89"/>
  <c r="Z49" i="23"/>
  <c r="Z151"/>
  <c r="Z59"/>
  <c r="W76" i="22"/>
  <c r="V76" s="1"/>
  <c r="AP36" i="13"/>
  <c r="AP143"/>
  <c r="Z81" i="22"/>
  <c r="Y81" s="1"/>
  <c r="W123"/>
  <c r="V123" s="1"/>
  <c r="Z147"/>
  <c r="Y147" s="1"/>
  <c r="W100"/>
  <c r="V100" s="1"/>
  <c r="W145"/>
  <c r="V145" s="1"/>
  <c r="W18"/>
  <c r="V18" s="1"/>
  <c r="Z184"/>
  <c r="Y184" s="1"/>
  <c r="W108"/>
  <c r="V108" s="1"/>
  <c r="W87"/>
  <c r="V87" s="1"/>
  <c r="W60"/>
  <c r="V60" s="1"/>
  <c r="W189"/>
  <c r="V189" s="1"/>
  <c r="Z36"/>
  <c r="Y36" s="1"/>
  <c r="W131"/>
  <c r="V131" s="1"/>
  <c r="Z140"/>
  <c r="Y140" s="1"/>
  <c r="Z180"/>
  <c r="Y180" s="1"/>
  <c r="Z50" i="23"/>
  <c r="Z23"/>
  <c r="Z45"/>
  <c r="Z19"/>
  <c r="Z82"/>
  <c r="Z20"/>
  <c r="Z33" i="22"/>
  <c r="Y33" s="1"/>
  <c r="Z187"/>
  <c r="Y187" s="1"/>
  <c r="W173"/>
  <c r="V173" s="1"/>
  <c r="W59"/>
  <c r="V59" s="1"/>
  <c r="W135"/>
  <c r="V135" s="1"/>
  <c r="W30"/>
  <c r="V30" s="1"/>
  <c r="Z152"/>
  <c r="Y152" s="1"/>
  <c r="W64"/>
  <c r="V64" s="1"/>
  <c r="W128"/>
  <c r="V128" s="1"/>
  <c r="Z188"/>
  <c r="Y188" s="1"/>
  <c r="Z175"/>
  <c r="Y175" s="1"/>
  <c r="Z155"/>
  <c r="Y155" s="1"/>
  <c r="W19"/>
  <c r="V19" s="1"/>
  <c r="W148"/>
  <c r="V148" s="1"/>
  <c r="W85"/>
  <c r="V85" s="1"/>
  <c r="Z44" i="23"/>
  <c r="Z123"/>
  <c r="Z140"/>
  <c r="Z39"/>
  <c r="W96" i="22"/>
  <c r="V96" s="1"/>
  <c r="W185"/>
  <c r="V185" s="1"/>
  <c r="W75"/>
  <c r="V75" s="1"/>
  <c r="W95"/>
  <c r="V95" s="1"/>
  <c r="W188"/>
  <c r="V188" s="1"/>
  <c r="W42"/>
  <c r="V42" s="1"/>
  <c r="T9"/>
  <c r="S9" s="1"/>
  <c r="Z185"/>
  <c r="Y185" s="1"/>
  <c r="W175"/>
  <c r="V175" s="1"/>
  <c r="W9"/>
  <c r="V9" s="1"/>
  <c r="Z95"/>
  <c r="Y95" s="1"/>
  <c r="W117"/>
  <c r="V117" s="1"/>
  <c r="Z85"/>
  <c r="Y85" s="1"/>
  <c r="Z150"/>
  <c r="Y150" s="1"/>
  <c r="Z56"/>
  <c r="Y56" s="1"/>
  <c r="Z54" i="23"/>
  <c r="Z188"/>
  <c r="Z187"/>
  <c r="W120" i="22"/>
  <c r="V120" s="1"/>
  <c r="W141"/>
  <c r="V141" s="1"/>
  <c r="T110"/>
  <c r="S110" s="1"/>
  <c r="W115"/>
  <c r="V115" s="1"/>
  <c r="W152"/>
  <c r="V152" s="1"/>
  <c r="Z96"/>
  <c r="Y96" s="1"/>
  <c r="W78"/>
  <c r="V78" s="1"/>
  <c r="T78"/>
  <c r="S78" s="1"/>
  <c r="Z115"/>
  <c r="Y115" s="1"/>
  <c r="W150"/>
  <c r="V150" s="1"/>
  <c r="Z120"/>
  <c r="Y120" s="1"/>
  <c r="Z182" i="23"/>
  <c r="W10" i="22"/>
  <c r="V10" s="1"/>
  <c r="W110"/>
  <c r="V110" s="1"/>
  <c r="Z59"/>
  <c r="Y59" s="1"/>
  <c r="W53"/>
  <c r="V53" s="1"/>
  <c r="Z143"/>
  <c r="Y143" s="1"/>
  <c r="Z53"/>
  <c r="Y53" s="1"/>
  <c r="Z117"/>
  <c r="Y117" s="1"/>
  <c r="T31"/>
  <c r="S31" s="1"/>
  <c r="W104"/>
  <c r="V104" s="1"/>
  <c r="W91"/>
  <c r="V91" s="1"/>
  <c r="W107"/>
  <c r="V107" s="1"/>
  <c r="W184"/>
  <c r="V184" s="1"/>
  <c r="T70"/>
  <c r="S70" s="1"/>
  <c r="Z183"/>
  <c r="Y183" s="1"/>
  <c r="AB183" s="1"/>
  <c r="W55"/>
  <c r="V55" s="1"/>
  <c r="W71"/>
  <c r="V71" s="1"/>
  <c r="W140"/>
  <c r="V140" s="1"/>
  <c r="W180"/>
  <c r="V180" s="1"/>
  <c r="W5"/>
  <c r="V5" s="1"/>
  <c r="W22"/>
  <c r="V22" s="1"/>
  <c r="W38"/>
  <c r="V38" s="1"/>
  <c r="Z55"/>
  <c r="Y55" s="1"/>
  <c r="Z71"/>
  <c r="Y71" s="1"/>
  <c r="Z91"/>
  <c r="Y91" s="1"/>
  <c r="Z107"/>
  <c r="Y107" s="1"/>
  <c r="Z61" i="23"/>
  <c r="Z126"/>
  <c r="Z139"/>
  <c r="Z47"/>
  <c r="Z97"/>
  <c r="Z120"/>
  <c r="Z83"/>
  <c r="W169" i="22"/>
  <c r="V169" s="1"/>
  <c r="T130"/>
  <c r="S130" s="1"/>
  <c r="Z104"/>
  <c r="Y104" s="1"/>
  <c r="Z169"/>
  <c r="Y169" s="1"/>
  <c r="W112"/>
  <c r="V112" s="1"/>
  <c r="W157"/>
  <c r="V157" s="1"/>
  <c r="W177"/>
  <c r="V177" s="1"/>
  <c r="Z11"/>
  <c r="Y11" s="1"/>
  <c r="Z124"/>
  <c r="Y124" s="1"/>
  <c r="AB124" s="1"/>
  <c r="W70"/>
  <c r="V70" s="1"/>
  <c r="W102"/>
  <c r="V102" s="1"/>
  <c r="W134"/>
  <c r="V134" s="1"/>
  <c r="W167"/>
  <c r="V167" s="1"/>
  <c r="Z156"/>
  <c r="Y156" s="1"/>
  <c r="W77"/>
  <c r="V77" s="1"/>
  <c r="W109"/>
  <c r="V109" s="1"/>
  <c r="W142"/>
  <c r="V142" s="1"/>
  <c r="W186"/>
  <c r="V186" s="1"/>
  <c r="Z134"/>
  <c r="Y134" s="1"/>
  <c r="Z167"/>
  <c r="Y167" s="1"/>
  <c r="T102"/>
  <c r="S102" s="1"/>
  <c r="Z46"/>
  <c r="Y46" s="1"/>
  <c r="W92"/>
  <c r="V92" s="1"/>
  <c r="W7"/>
  <c r="V7" s="1"/>
  <c r="Z7"/>
  <c r="Y7" s="1"/>
  <c r="Z186"/>
  <c r="Y186" s="1"/>
  <c r="Z80" i="23"/>
  <c r="T109" i="22"/>
  <c r="S109" s="1"/>
  <c r="Z39"/>
  <c r="Y39" s="1"/>
  <c r="T142"/>
  <c r="S142" s="1"/>
  <c r="I67" i="24"/>
  <c r="I65"/>
  <c r="I63"/>
  <c r="I53"/>
  <c r="I77"/>
  <c r="I69"/>
  <c r="I73"/>
  <c r="I71"/>
  <c r="I75"/>
  <c r="W6" i="22"/>
  <c r="V6" s="1"/>
  <c r="Z28"/>
  <c r="Y28" s="1"/>
  <c r="Z105"/>
  <c r="Y105" s="1"/>
  <c r="Z60"/>
  <c r="Y60" s="1"/>
  <c r="Z145"/>
  <c r="Y145" s="1"/>
  <c r="Z22"/>
  <c r="Y22" s="1"/>
  <c r="AP144" i="13"/>
  <c r="W39" i="22"/>
  <c r="V39" s="1"/>
  <c r="Z73"/>
  <c r="Y73" s="1"/>
  <c r="W147"/>
  <c r="V147" s="1"/>
  <c r="AP12" i="13"/>
  <c r="W48" i="22"/>
  <c r="V48" s="1"/>
  <c r="W68"/>
  <c r="V68" s="1"/>
  <c r="Z68"/>
  <c r="Y68" s="1"/>
  <c r="AP118" i="13"/>
  <c r="AP28"/>
  <c r="Z103" i="23"/>
  <c r="Z143"/>
  <c r="Z30"/>
  <c r="Z91"/>
  <c r="Z92" i="22"/>
  <c r="Y92" s="1"/>
  <c r="Z157"/>
  <c r="Y157" s="1"/>
  <c r="AP27" i="13"/>
  <c r="AP181"/>
  <c r="AP51"/>
  <c r="Z42" i="23"/>
  <c r="Z79"/>
  <c r="Z136"/>
  <c r="Z65" i="22"/>
  <c r="Y65" s="1"/>
  <c r="Z48"/>
  <c r="Y48" s="1"/>
  <c r="AP154" i="13"/>
  <c r="Z25" i="22"/>
  <c r="Y25" s="1"/>
  <c r="W52"/>
  <c r="V52" s="1"/>
  <c r="Z12"/>
  <c r="Y12" s="1"/>
  <c r="Z44"/>
  <c r="Y44" s="1"/>
  <c r="Z97"/>
  <c r="Y97" s="1"/>
  <c r="W111"/>
  <c r="V111" s="1"/>
  <c r="Z100"/>
  <c r="Y100" s="1"/>
  <c r="T81"/>
  <c r="S81" s="1"/>
  <c r="W35"/>
  <c r="V35" s="1"/>
  <c r="Z20"/>
  <c r="Y20" s="1"/>
  <c r="W161"/>
  <c r="V161" s="1"/>
  <c r="W164"/>
  <c r="V164" s="1"/>
  <c r="Z181"/>
  <c r="Y181" s="1"/>
  <c r="W179"/>
  <c r="V179" s="1"/>
  <c r="T189"/>
  <c r="S189" s="1"/>
  <c r="AP161" i="13"/>
  <c r="Z163" i="22"/>
  <c r="Y163" s="1"/>
  <c r="W181"/>
  <c r="V181" s="1"/>
  <c r="W163"/>
  <c r="V163" s="1"/>
  <c r="Z166"/>
  <c r="Y166" s="1"/>
  <c r="W168"/>
  <c r="V168" s="1"/>
  <c r="Z161"/>
  <c r="Y161" s="1"/>
  <c r="W187"/>
  <c r="V187" s="1"/>
  <c r="AP175" i="13"/>
  <c r="O18" i="21"/>
  <c r="N23"/>
  <c r="O23" s="1"/>
  <c r="Z66" i="23"/>
  <c r="Z178"/>
  <c r="Z119"/>
  <c r="T66" i="22"/>
  <c r="S66" s="1"/>
  <c r="T146"/>
  <c r="S146" s="1"/>
  <c r="T154"/>
  <c r="S154" s="1"/>
  <c r="T111"/>
  <c r="S111" s="1"/>
  <c r="Z30"/>
  <c r="Y30" s="1"/>
  <c r="Z124" i="23"/>
  <c r="AP189" i="13"/>
  <c r="AP72"/>
  <c r="AP19"/>
  <c r="AP153"/>
  <c r="AP86"/>
  <c r="AP49"/>
  <c r="Z17" i="22"/>
  <c r="Y17" s="1"/>
  <c r="Z130"/>
  <c r="Y130" s="1"/>
  <c r="Z171"/>
  <c r="Y171" s="1"/>
  <c r="W84"/>
  <c r="V84" s="1"/>
  <c r="W116"/>
  <c r="V116" s="1"/>
  <c r="W132"/>
  <c r="V132" s="1"/>
  <c r="W149"/>
  <c r="V149" s="1"/>
  <c r="Z16"/>
  <c r="Y16" s="1"/>
  <c r="Z32"/>
  <c r="Y32" s="1"/>
  <c r="Z49"/>
  <c r="Y49" s="1"/>
  <c r="T16"/>
  <c r="S16" s="1"/>
  <c r="T24"/>
  <c r="S24" s="1"/>
  <c r="T32"/>
  <c r="S32" s="1"/>
  <c r="AB32" s="1"/>
  <c r="T40"/>
  <c r="S40" s="1"/>
  <c r="T49"/>
  <c r="S49" s="1"/>
  <c r="Z132"/>
  <c r="Y132" s="1"/>
  <c r="Z177"/>
  <c r="Y177" s="1"/>
  <c r="T155"/>
  <c r="S155" s="1"/>
  <c r="T171"/>
  <c r="S171" s="1"/>
  <c r="Z14"/>
  <c r="Y14" s="1"/>
  <c r="Z90" i="23"/>
  <c r="Z102"/>
  <c r="Z144"/>
  <c r="Z24" i="22"/>
  <c r="Y24" s="1"/>
  <c r="Z40"/>
  <c r="Y40" s="1"/>
  <c r="Z113"/>
  <c r="Y113" s="1"/>
  <c r="Z182"/>
  <c r="Y182" s="1"/>
  <c r="T12"/>
  <c r="S12" s="1"/>
  <c r="T20"/>
  <c r="S20" s="1"/>
  <c r="T28"/>
  <c r="S28" s="1"/>
  <c r="T36"/>
  <c r="S36" s="1"/>
  <c r="T44"/>
  <c r="S44" s="1"/>
  <c r="T113"/>
  <c r="S113" s="1"/>
  <c r="Z6"/>
  <c r="Y6" s="1"/>
  <c r="Z76"/>
  <c r="Y76" s="1"/>
  <c r="Z116"/>
  <c r="Y116" s="1"/>
  <c r="T87"/>
  <c r="S87" s="1"/>
  <c r="AP96" i="13"/>
  <c r="AP108"/>
  <c r="AP104"/>
  <c r="AP132"/>
  <c r="AP60"/>
  <c r="AP20"/>
  <c r="Z35" i="22"/>
  <c r="Y35" s="1"/>
  <c r="AP93" i="13"/>
  <c r="AP78"/>
  <c r="AP187"/>
  <c r="AP151"/>
  <c r="AP44"/>
  <c r="AP65"/>
  <c r="AP129"/>
  <c r="AP190"/>
  <c r="Z88" i="23"/>
  <c r="T13" i="22"/>
  <c r="S13" s="1"/>
  <c r="T21"/>
  <c r="S21" s="1"/>
  <c r="T29"/>
  <c r="S29" s="1"/>
  <c r="T37"/>
  <c r="S37" s="1"/>
  <c r="T98"/>
  <c r="S98" s="1"/>
  <c r="Z57"/>
  <c r="Y57" s="1"/>
  <c r="Z89"/>
  <c r="Y89" s="1"/>
  <c r="Z121"/>
  <c r="Y121" s="1"/>
  <c r="Z170"/>
  <c r="Y170" s="1"/>
  <c r="T97"/>
  <c r="S97" s="1"/>
  <c r="T170"/>
  <c r="S170" s="1"/>
  <c r="T182"/>
  <c r="S182" s="1"/>
  <c r="T23"/>
  <c r="S23" s="1"/>
  <c r="T112"/>
  <c r="S112" s="1"/>
  <c r="T131"/>
  <c r="S131" s="1"/>
  <c r="T164"/>
  <c r="S164" s="1"/>
  <c r="AP61" i="13"/>
  <c r="AP14"/>
  <c r="AP57"/>
  <c r="AP121"/>
  <c r="AP186"/>
  <c r="Z174" i="23"/>
  <c r="Z155"/>
  <c r="Z10"/>
  <c r="Z73"/>
  <c r="Z69"/>
  <c r="Z117"/>
  <c r="Z177"/>
  <c r="Z52" i="22"/>
  <c r="Y52" s="1"/>
  <c r="Z80"/>
  <c r="Y80" s="1"/>
  <c r="AB80" s="1"/>
  <c r="Z141"/>
  <c r="Y141" s="1"/>
  <c r="Z165"/>
  <c r="Y165" s="1"/>
  <c r="T135"/>
  <c r="S135" s="1"/>
  <c r="AP24" i="13"/>
  <c r="AP158"/>
  <c r="AP41"/>
  <c r="AP150"/>
  <c r="AP30"/>
  <c r="AP97"/>
  <c r="AP162"/>
  <c r="Z121" i="23"/>
  <c r="Z48"/>
  <c r="Z41" i="22"/>
  <c r="Y41" s="1"/>
  <c r="W23"/>
  <c r="V23" s="1"/>
  <c r="T17"/>
  <c r="S17" s="1"/>
  <c r="T25"/>
  <c r="S25" s="1"/>
  <c r="T33"/>
  <c r="S33" s="1"/>
  <c r="T41"/>
  <c r="S41" s="1"/>
  <c r="Z158"/>
  <c r="Y158" s="1"/>
  <c r="Z178"/>
  <c r="Y178" s="1"/>
  <c r="T65"/>
  <c r="S65" s="1"/>
  <c r="T129"/>
  <c r="S129" s="1"/>
  <c r="T166"/>
  <c r="S166" s="1"/>
  <c r="T178"/>
  <c r="S178" s="1"/>
  <c r="AB178" s="1"/>
  <c r="AO10" i="13"/>
  <c r="AH197"/>
  <c r="AH194"/>
  <c r="AP92"/>
  <c r="AP42"/>
  <c r="AP185"/>
  <c r="AP165"/>
  <c r="AP128"/>
  <c r="AP124"/>
  <c r="AP173"/>
  <c r="AP35"/>
  <c r="AP79"/>
  <c r="AP136"/>
  <c r="AP169"/>
  <c r="AP53"/>
  <c r="AP68"/>
  <c r="AP116"/>
  <c r="AP59"/>
  <c r="Z170" i="23"/>
  <c r="Z118"/>
  <c r="Z18" i="22"/>
  <c r="Y18" s="1"/>
  <c r="Z34"/>
  <c r="Y34" s="1"/>
  <c r="Z148"/>
  <c r="Y148" s="1"/>
  <c r="W129"/>
  <c r="V129" s="1"/>
  <c r="W146"/>
  <c r="V146" s="1"/>
  <c r="T5"/>
  <c r="S5" s="1"/>
  <c r="AO117" i="13"/>
  <c r="AH193"/>
  <c r="AP80"/>
  <c r="AP9"/>
  <c r="AP84"/>
  <c r="AP64"/>
  <c r="AP43"/>
  <c r="AP112"/>
  <c r="AP177"/>
  <c r="AP76"/>
  <c r="AP110"/>
  <c r="AP157"/>
  <c r="AP26"/>
  <c r="AP74"/>
  <c r="AP120"/>
  <c r="AP155"/>
  <c r="AP16"/>
  <c r="AP52"/>
  <c r="AP100"/>
  <c r="AP149"/>
  <c r="AP183"/>
  <c r="AP22"/>
  <c r="AP38"/>
  <c r="T196"/>
  <c r="Z62" i="23"/>
  <c r="Z46"/>
  <c r="Z105"/>
  <c r="Z36"/>
  <c r="Z22"/>
  <c r="Z111"/>
  <c r="Z34"/>
  <c r="Z161"/>
  <c r="Z14"/>
  <c r="Z162"/>
  <c r="Z153"/>
  <c r="Z100"/>
  <c r="Z17"/>
  <c r="T50" i="22"/>
  <c r="S50" s="1"/>
  <c r="T82"/>
  <c r="S82" s="1"/>
  <c r="T114"/>
  <c r="S114" s="1"/>
  <c r="Z186" i="23"/>
  <c r="T158" i="22"/>
  <c r="S158" s="1"/>
  <c r="W50"/>
  <c r="V50" s="1"/>
  <c r="W66"/>
  <c r="V66" s="1"/>
  <c r="W82"/>
  <c r="V82" s="1"/>
  <c r="W98"/>
  <c r="V98" s="1"/>
  <c r="W114"/>
  <c r="V114" s="1"/>
  <c r="T19"/>
  <c r="S19" s="1"/>
  <c r="T43"/>
  <c r="S43" s="1"/>
  <c r="T64"/>
  <c r="S64" s="1"/>
  <c r="T84"/>
  <c r="S84" s="1"/>
  <c r="T108"/>
  <c r="S108" s="1"/>
  <c r="T128"/>
  <c r="S128" s="1"/>
  <c r="T149"/>
  <c r="S149" s="1"/>
  <c r="T173"/>
  <c r="S173" s="1"/>
  <c r="T123"/>
  <c r="S123" s="1"/>
  <c r="T168"/>
  <c r="S168" s="1"/>
  <c r="Z139"/>
  <c r="Y139" s="1"/>
  <c r="Z10"/>
  <c r="Y10" s="1"/>
  <c r="Z26"/>
  <c r="Y26" s="1"/>
  <c r="W57"/>
  <c r="V57" s="1"/>
  <c r="W73"/>
  <c r="V73" s="1"/>
  <c r="W89"/>
  <c r="V89" s="1"/>
  <c r="W105"/>
  <c r="V105" s="1"/>
  <c r="W121"/>
  <c r="V121" s="1"/>
  <c r="W137"/>
  <c r="V137" s="1"/>
  <c r="T42"/>
  <c r="S42" s="1"/>
  <c r="AN117" i="13"/>
  <c r="AN197" s="1"/>
  <c r="AG193"/>
  <c r="AP145"/>
  <c r="AP140"/>
  <c r="AP88"/>
  <c r="Z55" i="23"/>
  <c r="Z157"/>
  <c r="Z148"/>
  <c r="Z77"/>
  <c r="Z92"/>
  <c r="Z26"/>
  <c r="AA193" i="13"/>
  <c r="T46" i="22"/>
  <c r="S46" s="1"/>
  <c r="T58"/>
  <c r="S58" s="1"/>
  <c r="T74"/>
  <c r="S74" s="1"/>
  <c r="T90"/>
  <c r="S90" s="1"/>
  <c r="T106"/>
  <c r="S106" s="1"/>
  <c r="T122"/>
  <c r="S122" s="1"/>
  <c r="T139"/>
  <c r="S139" s="1"/>
  <c r="T137"/>
  <c r="S137" s="1"/>
  <c r="W58"/>
  <c r="V58" s="1"/>
  <c r="W74"/>
  <c r="V74" s="1"/>
  <c r="W90"/>
  <c r="V90" s="1"/>
  <c r="W106"/>
  <c r="V106" s="1"/>
  <c r="W122"/>
  <c r="V122" s="1"/>
  <c r="W13"/>
  <c r="V13" s="1"/>
  <c r="W21"/>
  <c r="V21" s="1"/>
  <c r="W29"/>
  <c r="V29" s="1"/>
  <c r="W37"/>
  <c r="V37" s="1"/>
  <c r="Z132" i="23"/>
  <c r="Z125"/>
  <c r="Z31"/>
  <c r="Z122"/>
  <c r="Z89"/>
  <c r="Z28"/>
  <c r="Z60"/>
  <c r="Z37"/>
  <c r="Z104"/>
  <c r="Z68"/>
  <c r="Z13"/>
  <c r="Z65"/>
  <c r="Z16"/>
  <c r="Z137"/>
  <c r="Z149"/>
  <c r="Z40"/>
  <c r="Z96"/>
  <c r="Z72"/>
  <c r="Z75"/>
  <c r="Z85"/>
  <c r="Z43"/>
  <c r="Z141"/>
  <c r="Z84"/>
  <c r="Z15"/>
  <c r="Z147"/>
  <c r="Z145"/>
  <c r="Z7"/>
  <c r="Z64"/>
  <c r="Z110"/>
  <c r="Z94"/>
  <c r="Z166"/>
  <c r="Z173"/>
  <c r="Z156"/>
  <c r="Z70"/>
  <c r="Z51"/>
  <c r="Z35"/>
  <c r="Z21"/>
  <c r="Z164"/>
  <c r="Z98"/>
  <c r="Z6"/>
  <c r="Z81"/>
  <c r="Z106"/>
  <c r="Z93"/>
  <c r="Z27"/>
  <c r="Z176"/>
  <c r="Z67"/>
  <c r="Z152"/>
  <c r="Z8"/>
  <c r="Z76"/>
  <c r="Z112"/>
  <c r="Z101"/>
  <c r="Z78"/>
  <c r="Z71"/>
  <c r="Z52"/>
  <c r="AA197" i="13"/>
  <c r="AA194"/>
  <c r="AN194"/>
  <c r="Z158" i="23"/>
  <c r="Z133"/>
  <c r="Z163"/>
  <c r="AN192" i="13"/>
  <c r="C189" i="23" s="1"/>
  <c r="Z11"/>
  <c r="Z116"/>
  <c r="Z99"/>
  <c r="Z12"/>
  <c r="Z159"/>
  <c r="Z9"/>
  <c r="Z114"/>
  <c r="Z86"/>
  <c r="Z5"/>
  <c r="Z183"/>
  <c r="AP114" i="13"/>
  <c r="AP179"/>
  <c r="AP90"/>
  <c r="AP33"/>
  <c r="AP8"/>
  <c r="AP62"/>
  <c r="AP94"/>
  <c r="AP126"/>
  <c r="AP159"/>
  <c r="AP191"/>
  <c r="AP58"/>
  <c r="AP171"/>
  <c r="AP17"/>
  <c r="AP70"/>
  <c r="AP102"/>
  <c r="AP134"/>
  <c r="AP167"/>
  <c r="AP73"/>
  <c r="AP105"/>
  <c r="AP137"/>
  <c r="AP170"/>
  <c r="AP178"/>
  <c r="AP50"/>
  <c r="AP82"/>
  <c r="AP147"/>
  <c r="AP25"/>
  <c r="AP122"/>
  <c r="AP66"/>
  <c r="AP98"/>
  <c r="AP130"/>
  <c r="AP163"/>
  <c r="AP40"/>
  <c r="AP77"/>
  <c r="AP109"/>
  <c r="AP142"/>
  <c r="AP174"/>
  <c r="AP106"/>
  <c r="AP138"/>
  <c r="AP32"/>
  <c r="AP69"/>
  <c r="AP101"/>
  <c r="AP133"/>
  <c r="AP166"/>
  <c r="AP46"/>
  <c r="AP81"/>
  <c r="AP113"/>
  <c r="AP146"/>
  <c r="AP182"/>
  <c r="Z74" i="23"/>
  <c r="Z29"/>
  <c r="Z56"/>
  <c r="Z107"/>
  <c r="Z160"/>
  <c r="Z25"/>
  <c r="Z33"/>
  <c r="Z180"/>
  <c r="AP87" i="13"/>
  <c r="AP119"/>
  <c r="AP152"/>
  <c r="AP55"/>
  <c r="AP29"/>
  <c r="Z95" i="23"/>
  <c r="Z130"/>
  <c r="AP23" i="13"/>
  <c r="Z58" i="23"/>
  <c r="Z181"/>
  <c r="Z179"/>
  <c r="AP95" i="13"/>
  <c r="AP160"/>
  <c r="AP31"/>
  <c r="Z129" i="23"/>
  <c r="Z165"/>
  <c r="Z146"/>
  <c r="AP67" i="13"/>
  <c r="AP75"/>
  <c r="AP83"/>
  <c r="AP91"/>
  <c r="AP99"/>
  <c r="AP107"/>
  <c r="AP115"/>
  <c r="AP123"/>
  <c r="AP131"/>
  <c r="AP139"/>
  <c r="AP148"/>
  <c r="AP156"/>
  <c r="AP164"/>
  <c r="AP172"/>
  <c r="AP103"/>
  <c r="AP47"/>
  <c r="AP21"/>
  <c r="AP111"/>
  <c r="AP54"/>
  <c r="AP71"/>
  <c r="AP135"/>
  <c r="AP168"/>
  <c r="AP18"/>
  <c r="AP34"/>
  <c r="Z167" i="23"/>
  <c r="AP13" i="13"/>
  <c r="AP45"/>
  <c r="Z172" i="23"/>
  <c r="Z175"/>
  <c r="Z150"/>
  <c r="AP39" i="13"/>
  <c r="Z142" i="23"/>
  <c r="Z108"/>
  <c r="Z24"/>
  <c r="Z131"/>
  <c r="Z169"/>
  <c r="AP37" i="13"/>
  <c r="AP63"/>
  <c r="AP127"/>
  <c r="AP15"/>
  <c r="Z171" i="23"/>
  <c r="Z87"/>
  <c r="AP176" i="13"/>
  <c r="AP180"/>
  <c r="AP184"/>
  <c r="AP188"/>
  <c r="Z63" i="23"/>
  <c r="Z154"/>
  <c r="Z109"/>
  <c r="Z127"/>
  <c r="Z32"/>
  <c r="Z134"/>
  <c r="Z113"/>
  <c r="Z135"/>
  <c r="Z168"/>
  <c r="Z41"/>
  <c r="Z115"/>
  <c r="K11" i="35"/>
  <c r="K16"/>
  <c r="K21"/>
  <c r="K6"/>
  <c r="L11"/>
  <c r="L16"/>
  <c r="L21"/>
  <c r="L6"/>
  <c r="J11"/>
  <c r="J16"/>
  <c r="J21"/>
  <c r="J6"/>
  <c r="H11"/>
  <c r="H16"/>
  <c r="H21"/>
  <c r="H6"/>
  <c r="G11"/>
  <c r="G16"/>
  <c r="G21"/>
  <c r="G6"/>
  <c r="D11"/>
  <c r="D16"/>
  <c r="D21"/>
  <c r="D6"/>
  <c r="AB119" i="22" l="1"/>
  <c r="AB173"/>
  <c r="AB125"/>
  <c r="AB179"/>
  <c r="AB22"/>
  <c r="AB93"/>
  <c r="AB128"/>
  <c r="AB154"/>
  <c r="AB172"/>
  <c r="AB99"/>
  <c r="AB47"/>
  <c r="AB165"/>
  <c r="AB94"/>
  <c r="AB27"/>
  <c r="AB72"/>
  <c r="AB151"/>
  <c r="AB63"/>
  <c r="AB174"/>
  <c r="AB153"/>
  <c r="AB79"/>
  <c r="AB56"/>
  <c r="AB160"/>
  <c r="AB83"/>
  <c r="AB144"/>
  <c r="AB156"/>
  <c r="AB84"/>
  <c r="AB62"/>
  <c r="AB136"/>
  <c r="AB162"/>
  <c r="AB176"/>
  <c r="AB127"/>
  <c r="AB67"/>
  <c r="AC124"/>
  <c r="AB140"/>
  <c r="AB101"/>
  <c r="AB100"/>
  <c r="AB66"/>
  <c r="AB111"/>
  <c r="AB180"/>
  <c r="AB31"/>
  <c r="AB126"/>
  <c r="AB133"/>
  <c r="AB69"/>
  <c r="AB51"/>
  <c r="AB88"/>
  <c r="AB108"/>
  <c r="AB11"/>
  <c r="AB188"/>
  <c r="AB159"/>
  <c r="AB123"/>
  <c r="AB85"/>
  <c r="AB175"/>
  <c r="AB10"/>
  <c r="AB26"/>
  <c r="AB18"/>
  <c r="AC103"/>
  <c r="AC101"/>
  <c r="AB143"/>
  <c r="AB13"/>
  <c r="AB170"/>
  <c r="AB142"/>
  <c r="AB38"/>
  <c r="AB91"/>
  <c r="AB60"/>
  <c r="AB34"/>
  <c r="AB98"/>
  <c r="AB28"/>
  <c r="AB75"/>
  <c r="AB23"/>
  <c r="AB16"/>
  <c r="AB189"/>
  <c r="AB42"/>
  <c r="AC183"/>
  <c r="AB14"/>
  <c r="AB105"/>
  <c r="AB43"/>
  <c r="AB77"/>
  <c r="AC133"/>
  <c r="AB64"/>
  <c r="AB145"/>
  <c r="AB184"/>
  <c r="AC176"/>
  <c r="AB135"/>
  <c r="AB155"/>
  <c r="AB53"/>
  <c r="AB150"/>
  <c r="AB76"/>
  <c r="AB187"/>
  <c r="AB78"/>
  <c r="AB166"/>
  <c r="AB17"/>
  <c r="AB12"/>
  <c r="AB81"/>
  <c r="AB9"/>
  <c r="AB33"/>
  <c r="AB68"/>
  <c r="AC65"/>
  <c r="AB21"/>
  <c r="AB141"/>
  <c r="AB131"/>
  <c r="AB115"/>
  <c r="AB152"/>
  <c r="AB185"/>
  <c r="AB36"/>
  <c r="AB147"/>
  <c r="AC64"/>
  <c r="AC98"/>
  <c r="AB65"/>
  <c r="AB70"/>
  <c r="AB168"/>
  <c r="AB148"/>
  <c r="AB112"/>
  <c r="AB24"/>
  <c r="AB132"/>
  <c r="AB59"/>
  <c r="AB95"/>
  <c r="AB49"/>
  <c r="AB181"/>
  <c r="AB48"/>
  <c r="AB87"/>
  <c r="AC185"/>
  <c r="AB52"/>
  <c r="AB177"/>
  <c r="AB186"/>
  <c r="AB157"/>
  <c r="AB107"/>
  <c r="AC152"/>
  <c r="AB19"/>
  <c r="AB39"/>
  <c r="AB96"/>
  <c r="AB41"/>
  <c r="AB30"/>
  <c r="AB110"/>
  <c r="AB149"/>
  <c r="AB97"/>
  <c r="AB40"/>
  <c r="AB117"/>
  <c r="AC96"/>
  <c r="AC117"/>
  <c r="AB121"/>
  <c r="AB57"/>
  <c r="AB146"/>
  <c r="AB20"/>
  <c r="AB109"/>
  <c r="AB130"/>
  <c r="AB55"/>
  <c r="AC150"/>
  <c r="AB37"/>
  <c r="AC186"/>
  <c r="AB6"/>
  <c r="AB120"/>
  <c r="AB46"/>
  <c r="AC182"/>
  <c r="AB158"/>
  <c r="AB5"/>
  <c r="AB44"/>
  <c r="AB35"/>
  <c r="AB25"/>
  <c r="AB7"/>
  <c r="AB92"/>
  <c r="AB167"/>
  <c r="AB134"/>
  <c r="AB71"/>
  <c r="AB104"/>
  <c r="AB29"/>
  <c r="AB73"/>
  <c r="AB164"/>
  <c r="AC80"/>
  <c r="AB89"/>
  <c r="AC184"/>
  <c r="AB113"/>
  <c r="AB102"/>
  <c r="AB169"/>
  <c r="AC165"/>
  <c r="AC167"/>
  <c r="AC177"/>
  <c r="AC164"/>
  <c r="AB161"/>
  <c r="AB163"/>
  <c r="AB116"/>
  <c r="AB171"/>
  <c r="AC123"/>
  <c r="AB139"/>
  <c r="AC128"/>
  <c r="AC73"/>
  <c r="AB90"/>
  <c r="AB182"/>
  <c r="AB129"/>
  <c r="AB50"/>
  <c r="AN193" i="13"/>
  <c r="C114" i="23"/>
  <c r="C114" i="22"/>
  <c r="AO193" i="13"/>
  <c r="AP117"/>
  <c r="AP192"/>
  <c r="AB74" i="22"/>
  <c r="AB106"/>
  <c r="AB82"/>
  <c r="C7"/>
  <c r="AO194" i="13"/>
  <c r="AO197"/>
  <c r="AP10"/>
  <c r="AB137" i="22"/>
  <c r="AB122"/>
  <c r="AB58"/>
  <c r="AB114"/>
  <c r="AC89"/>
  <c r="AC66"/>
  <c r="AC141"/>
  <c r="AC74"/>
  <c r="AC189"/>
  <c r="AC119"/>
  <c r="AC71"/>
  <c r="AC169"/>
  <c r="AC136"/>
  <c r="AC104"/>
  <c r="AC72"/>
  <c r="AC170"/>
  <c r="AC137"/>
  <c r="AC105"/>
  <c r="AC175"/>
  <c r="AC143"/>
  <c r="AC110"/>
  <c r="AC78"/>
  <c r="AC172"/>
  <c r="AC140"/>
  <c r="AC75"/>
  <c r="AC173"/>
  <c r="AC108"/>
  <c r="AC76"/>
  <c r="AC174"/>
  <c r="AC125"/>
  <c r="AC77"/>
  <c r="AC163"/>
  <c r="AC130"/>
  <c r="AC82"/>
  <c r="AC144"/>
  <c r="AC111"/>
  <c r="AC79"/>
  <c r="AC161"/>
  <c r="AC178"/>
  <c r="AC146"/>
  <c r="AC97"/>
  <c r="AC188"/>
  <c r="AC134"/>
  <c r="AC102"/>
  <c r="AC70"/>
  <c r="AC148"/>
  <c r="AC115"/>
  <c r="AC83"/>
  <c r="AC181"/>
  <c r="AC132"/>
  <c r="AC100"/>
  <c r="AC68"/>
  <c r="AC166"/>
  <c r="AC69"/>
  <c r="AC155"/>
  <c r="AC122"/>
  <c r="AC90"/>
  <c r="AC91"/>
  <c r="AC112"/>
  <c r="AC158"/>
  <c r="AC109"/>
  <c r="AC179"/>
  <c r="AC135"/>
  <c r="AC113"/>
  <c r="AC168"/>
  <c r="AC87"/>
  <c r="AC55"/>
  <c r="AC153"/>
  <c r="AC120"/>
  <c r="AC88"/>
  <c r="AC56"/>
  <c r="AC154"/>
  <c r="AC121"/>
  <c r="AC57"/>
  <c r="AC159"/>
  <c r="AC126"/>
  <c r="AC94"/>
  <c r="AC62"/>
  <c r="AC156"/>
  <c r="AC107"/>
  <c r="AC59"/>
  <c r="AC157"/>
  <c r="AC92"/>
  <c r="AC60"/>
  <c r="AC142"/>
  <c r="AC93"/>
  <c r="AC61"/>
  <c r="AC147"/>
  <c r="AC114"/>
  <c r="AC160"/>
  <c r="AC127"/>
  <c r="AC95"/>
  <c r="AC63"/>
  <c r="AC145"/>
  <c r="AC162"/>
  <c r="AC129"/>
  <c r="AC81"/>
  <c r="AC151"/>
  <c r="AC118"/>
  <c r="AC86"/>
  <c r="AC180"/>
  <c r="AC131"/>
  <c r="AC99"/>
  <c r="AC67"/>
  <c r="AC149"/>
  <c r="AC116"/>
  <c r="AC84"/>
  <c r="AC187"/>
  <c r="AC85"/>
  <c r="AC171"/>
  <c r="AC139"/>
  <c r="AC106"/>
  <c r="AC58"/>
  <c r="AC27"/>
  <c r="AC8"/>
  <c r="AC22"/>
  <c r="AC37"/>
  <c r="AC5"/>
  <c r="AC40"/>
  <c r="AC18"/>
  <c r="AC35"/>
  <c r="AC9"/>
  <c r="AC24"/>
  <c r="AC10"/>
  <c r="AC36"/>
  <c r="AC30"/>
  <c r="AC13"/>
  <c r="AC15"/>
  <c r="AC49"/>
  <c r="AC17"/>
  <c r="AC48"/>
  <c r="AC34"/>
  <c r="AC44"/>
  <c r="AC12"/>
  <c r="AC32"/>
  <c r="AC42"/>
  <c r="AC47"/>
  <c r="AC53"/>
  <c r="AC51"/>
  <c r="AC19"/>
  <c r="AC25"/>
  <c r="AC50"/>
  <c r="AC20"/>
  <c r="AC46"/>
  <c r="AC23"/>
  <c r="AC16"/>
  <c r="AC33"/>
  <c r="AC54"/>
  <c r="AC11"/>
  <c r="AC39"/>
  <c r="AC45"/>
  <c r="AC52"/>
  <c r="AC38"/>
  <c r="AC6"/>
  <c r="AC29"/>
  <c r="Q38" i="12"/>
  <c r="D38"/>
  <c r="F8" i="21" s="1"/>
  <c r="B38" i="12"/>
  <c r="AP193" i="13" l="1"/>
  <c r="AC31" i="22"/>
  <c r="AC28"/>
  <c r="AC7"/>
  <c r="AC43"/>
  <c r="AC21"/>
  <c r="AC14"/>
  <c r="AC26"/>
  <c r="AC41"/>
  <c r="C38" i="12"/>
  <c r="AJ7"/>
  <c r="G46" i="25" s="1"/>
  <c r="X7" i="12"/>
  <c r="AE7" s="1"/>
  <c r="W7"/>
  <c r="AD7" l="1"/>
  <c r="AO7" s="1"/>
  <c r="AF38"/>
  <c r="D8" i="21"/>
  <c r="Q8" s="1"/>
  <c r="W33" i="12" l="1"/>
  <c r="AD33" s="1"/>
  <c r="AO33" s="1"/>
  <c r="X33"/>
  <c r="AE33" s="1"/>
  <c r="AP33" s="1"/>
  <c r="Y33"/>
  <c r="Z33"/>
  <c r="AA33"/>
  <c r="AB33"/>
  <c r="AC33"/>
  <c r="W34"/>
  <c r="AD34" s="1"/>
  <c r="AO34" s="1"/>
  <c r="X34"/>
  <c r="AE34" s="1"/>
  <c r="AP34" s="1"/>
  <c r="Y34"/>
  <c r="Z34"/>
  <c r="AA34"/>
  <c r="AB34"/>
  <c r="AC34"/>
  <c r="W35"/>
  <c r="AD35" s="1"/>
  <c r="AO35" s="1"/>
  <c r="X35"/>
  <c r="AE35" s="1"/>
  <c r="AP35" s="1"/>
  <c r="Y35"/>
  <c r="Z35"/>
  <c r="AA35"/>
  <c r="AB35"/>
  <c r="AC35"/>
  <c r="W36"/>
  <c r="AD36" s="1"/>
  <c r="AO36" s="1"/>
  <c r="X36"/>
  <c r="AE36" s="1"/>
  <c r="AP36" s="1"/>
  <c r="Y36"/>
  <c r="Z36"/>
  <c r="AA36"/>
  <c r="AB36"/>
  <c r="AC36"/>
  <c r="W37"/>
  <c r="AD37" s="1"/>
  <c r="AO37" s="1"/>
  <c r="X37"/>
  <c r="AE37" s="1"/>
  <c r="AP37" s="1"/>
  <c r="Y37"/>
  <c r="Z37"/>
  <c r="AA37"/>
  <c r="AB37"/>
  <c r="AC37"/>
  <c r="E38"/>
  <c r="F38"/>
  <c r="G38"/>
  <c r="H38"/>
  <c r="I38"/>
  <c r="J38"/>
  <c r="K38"/>
  <c r="L38"/>
  <c r="M38"/>
  <c r="N38"/>
  <c r="O38"/>
  <c r="P38"/>
  <c r="R38"/>
  <c r="S38"/>
  <c r="T38"/>
  <c r="U38"/>
  <c r="V38"/>
  <c r="AG38"/>
  <c r="AH38"/>
  <c r="AI38"/>
  <c r="AQ36" l="1"/>
  <c r="AQ35"/>
  <c r="AQ33"/>
  <c r="AQ34"/>
  <c r="AQ37"/>
  <c r="E9" i="27"/>
  <c r="M9" s="1"/>
  <c r="F36"/>
  <c r="U4" i="22" l="1"/>
  <c r="AA7" i="13"/>
  <c r="U190" i="22" l="1"/>
  <c r="AF138" s="1"/>
  <c r="X190"/>
  <c r="AG138" l="1"/>
  <c r="AG7"/>
  <c r="AG4"/>
  <c r="AG182"/>
  <c r="AG184"/>
  <c r="AG188"/>
  <c r="AG187"/>
  <c r="AG186"/>
  <c r="AG183"/>
  <c r="AG185"/>
  <c r="AF182"/>
  <c r="AF184"/>
  <c r="AF183"/>
  <c r="AF187"/>
  <c r="AF186"/>
  <c r="AF188"/>
  <c r="AF185"/>
  <c r="AF4"/>
  <c r="AG177"/>
  <c r="AG161"/>
  <c r="AG145"/>
  <c r="AG128"/>
  <c r="AG112"/>
  <c r="AG96"/>
  <c r="AG80"/>
  <c r="AG64"/>
  <c r="AG48"/>
  <c r="AG32"/>
  <c r="AG16"/>
  <c r="AG166"/>
  <c r="AG150"/>
  <c r="AG133"/>
  <c r="AG117"/>
  <c r="AG101"/>
  <c r="AG85"/>
  <c r="AG69"/>
  <c r="AG53"/>
  <c r="AG37"/>
  <c r="AG21"/>
  <c r="AG5"/>
  <c r="AG175"/>
  <c r="AG159"/>
  <c r="AG143"/>
  <c r="AG126"/>
  <c r="AG110"/>
  <c r="AG94"/>
  <c r="AG78"/>
  <c r="AG62"/>
  <c r="AG46"/>
  <c r="AG30"/>
  <c r="AG14"/>
  <c r="AG180"/>
  <c r="AG164"/>
  <c r="AG148"/>
  <c r="AG131"/>
  <c r="AG115"/>
  <c r="AG99"/>
  <c r="AG83"/>
  <c r="AG67"/>
  <c r="AG51"/>
  <c r="AG35"/>
  <c r="AG19"/>
  <c r="AG181"/>
  <c r="AG165"/>
  <c r="AG149"/>
  <c r="AG132"/>
  <c r="AG116"/>
  <c r="AG100"/>
  <c r="AG84"/>
  <c r="AG68"/>
  <c r="AG52"/>
  <c r="AG36"/>
  <c r="AG20"/>
  <c r="AG170"/>
  <c r="AG154"/>
  <c r="AG137"/>
  <c r="AG121"/>
  <c r="AG105"/>
  <c r="AG89"/>
  <c r="AG73"/>
  <c r="AG57"/>
  <c r="AG41"/>
  <c r="AG25"/>
  <c r="AG9"/>
  <c r="AG179"/>
  <c r="AG163"/>
  <c r="AG147"/>
  <c r="AG130"/>
  <c r="AG114"/>
  <c r="AG98"/>
  <c r="AG82"/>
  <c r="AG66"/>
  <c r="AG50"/>
  <c r="AG34"/>
  <c r="AG18"/>
  <c r="AG189"/>
  <c r="AG168"/>
  <c r="AG152"/>
  <c r="AG135"/>
  <c r="AG119"/>
  <c r="AG103"/>
  <c r="AG87"/>
  <c r="AG71"/>
  <c r="AG55"/>
  <c r="AG39"/>
  <c r="AG23"/>
  <c r="AG157"/>
  <c r="AG141"/>
  <c r="AG124"/>
  <c r="AG108"/>
  <c r="AG92"/>
  <c r="AG76"/>
  <c r="AG60"/>
  <c r="AG44"/>
  <c r="AG28"/>
  <c r="AG12"/>
  <c r="AG178"/>
  <c r="AG162"/>
  <c r="AG146"/>
  <c r="AG129"/>
  <c r="AG113"/>
  <c r="AG97"/>
  <c r="AG81"/>
  <c r="AG65"/>
  <c r="AG49"/>
  <c r="AG33"/>
  <c r="AG17"/>
  <c r="AG171"/>
  <c r="AG155"/>
  <c r="AG139"/>
  <c r="AG122"/>
  <c r="AG106"/>
  <c r="AG90"/>
  <c r="AG74"/>
  <c r="AG58"/>
  <c r="AG42"/>
  <c r="AG26"/>
  <c r="AG10"/>
  <c r="AG176"/>
  <c r="AG160"/>
  <c r="AG144"/>
  <c r="AG127"/>
  <c r="AG111"/>
  <c r="AG95"/>
  <c r="AG79"/>
  <c r="AG63"/>
  <c r="AG47"/>
  <c r="AG31"/>
  <c r="AG15"/>
  <c r="AG169"/>
  <c r="AG153"/>
  <c r="AG136"/>
  <c r="AG120"/>
  <c r="AG104"/>
  <c r="AG88"/>
  <c r="AG72"/>
  <c r="AG56"/>
  <c r="AG40"/>
  <c r="AG24"/>
  <c r="AG8"/>
  <c r="AG174"/>
  <c r="AG158"/>
  <c r="AG142"/>
  <c r="AG125"/>
  <c r="AG109"/>
  <c r="AG93"/>
  <c r="AG77"/>
  <c r="AG61"/>
  <c r="AG45"/>
  <c r="AG29"/>
  <c r="AG13"/>
  <c r="AG167"/>
  <c r="AG151"/>
  <c r="AG134"/>
  <c r="AG118"/>
  <c r="AG102"/>
  <c r="AG86"/>
  <c r="AG70"/>
  <c r="AG54"/>
  <c r="AG38"/>
  <c r="AG22"/>
  <c r="AG6"/>
  <c r="AG172"/>
  <c r="AG156"/>
  <c r="AG140"/>
  <c r="AG123"/>
  <c r="AG107"/>
  <c r="AG91"/>
  <c r="AG75"/>
  <c r="AG59"/>
  <c r="AG43"/>
  <c r="AG27"/>
  <c r="AG11"/>
  <c r="AG173"/>
  <c r="AF167"/>
  <c r="AF151"/>
  <c r="AF134"/>
  <c r="AF118"/>
  <c r="AF102"/>
  <c r="AF86"/>
  <c r="AF70"/>
  <c r="AF54"/>
  <c r="AF38"/>
  <c r="AF22"/>
  <c r="AF6"/>
  <c r="AF172"/>
  <c r="AF156"/>
  <c r="AF140"/>
  <c r="AF123"/>
  <c r="AF107"/>
  <c r="AF91"/>
  <c r="AF75"/>
  <c r="AF59"/>
  <c r="AF43"/>
  <c r="AF27"/>
  <c r="AF11"/>
  <c r="AF181"/>
  <c r="AF165"/>
  <c r="AF149"/>
  <c r="AF132"/>
  <c r="AF116"/>
  <c r="AF100"/>
  <c r="AF84"/>
  <c r="AF68"/>
  <c r="AF52"/>
  <c r="AF36"/>
  <c r="AF20"/>
  <c r="AF174"/>
  <c r="AF158"/>
  <c r="AF142"/>
  <c r="AF125"/>
  <c r="AF109"/>
  <c r="AF93"/>
  <c r="AF77"/>
  <c r="AF61"/>
  <c r="AF45"/>
  <c r="AF29"/>
  <c r="AF13"/>
  <c r="AF171"/>
  <c r="AF155"/>
  <c r="AF139"/>
  <c r="AF122"/>
  <c r="AF106"/>
  <c r="AF90"/>
  <c r="AF74"/>
  <c r="AF58"/>
  <c r="AF42"/>
  <c r="AF26"/>
  <c r="AF10"/>
  <c r="AF176"/>
  <c r="AF160"/>
  <c r="AF144"/>
  <c r="AF127"/>
  <c r="AF111"/>
  <c r="AF95"/>
  <c r="AF79"/>
  <c r="AF63"/>
  <c r="AF47"/>
  <c r="AF31"/>
  <c r="AF15"/>
  <c r="AF169"/>
  <c r="AF153"/>
  <c r="AF136"/>
  <c r="AF120"/>
  <c r="AF104"/>
  <c r="AF88"/>
  <c r="AF72"/>
  <c r="AF56"/>
  <c r="AF40"/>
  <c r="AF24"/>
  <c r="AF8"/>
  <c r="AF178"/>
  <c r="AF162"/>
  <c r="AF146"/>
  <c r="AF129"/>
  <c r="AF113"/>
  <c r="AF97"/>
  <c r="AF81"/>
  <c r="AF65"/>
  <c r="AF49"/>
  <c r="AF33"/>
  <c r="AF17"/>
  <c r="AF175"/>
  <c r="AF159"/>
  <c r="AF143"/>
  <c r="AF126"/>
  <c r="AF110"/>
  <c r="AF94"/>
  <c r="AF78"/>
  <c r="AF62"/>
  <c r="AF46"/>
  <c r="AF30"/>
  <c r="AF14"/>
  <c r="AF180"/>
  <c r="AF164"/>
  <c r="AF148"/>
  <c r="AF131"/>
  <c r="AF115"/>
  <c r="AF99"/>
  <c r="AF83"/>
  <c r="AF67"/>
  <c r="AF51"/>
  <c r="AF35"/>
  <c r="AF19"/>
  <c r="AF173"/>
  <c r="AF157"/>
  <c r="AF141"/>
  <c r="AF124"/>
  <c r="AF108"/>
  <c r="AF92"/>
  <c r="AF76"/>
  <c r="AF60"/>
  <c r="AF44"/>
  <c r="AF28"/>
  <c r="AF12"/>
  <c r="AF166"/>
  <c r="AF150"/>
  <c r="AF133"/>
  <c r="AF117"/>
  <c r="AF101"/>
  <c r="AF85"/>
  <c r="AF69"/>
  <c r="AF53"/>
  <c r="AF37"/>
  <c r="AF21"/>
  <c r="AF5"/>
  <c r="AF179"/>
  <c r="AF163"/>
  <c r="AF147"/>
  <c r="AF130"/>
  <c r="AF114"/>
  <c r="AF98"/>
  <c r="AF82"/>
  <c r="AF66"/>
  <c r="AF50"/>
  <c r="AF34"/>
  <c r="AF18"/>
  <c r="AF189"/>
  <c r="AF168"/>
  <c r="AF152"/>
  <c r="AF135"/>
  <c r="AF119"/>
  <c r="AF103"/>
  <c r="AF87"/>
  <c r="AF71"/>
  <c r="AF55"/>
  <c r="AF39"/>
  <c r="AF23"/>
  <c r="AF7"/>
  <c r="AF177"/>
  <c r="AF161"/>
  <c r="AF145"/>
  <c r="AF128"/>
  <c r="AF112"/>
  <c r="AF96"/>
  <c r="AF80"/>
  <c r="AF64"/>
  <c r="AF48"/>
  <c r="AF32"/>
  <c r="AF16"/>
  <c r="AF170"/>
  <c r="AF154"/>
  <c r="AF137"/>
  <c r="AF121"/>
  <c r="AF105"/>
  <c r="AF89"/>
  <c r="AF73"/>
  <c r="AF57"/>
  <c r="AF41"/>
  <c r="AF25"/>
  <c r="AF9"/>
  <c r="G20" i="27" l="1"/>
  <c r="E7"/>
  <c r="F6"/>
  <c r="G36"/>
  <c r="R4" i="22" l="1"/>
  <c r="U4" i="23"/>
  <c r="U190" s="1"/>
  <c r="AC138" s="1"/>
  <c r="S4"/>
  <c r="T4" l="1"/>
  <c r="AC185"/>
  <c r="AC186"/>
  <c r="AC188"/>
  <c r="AC187"/>
  <c r="AC184"/>
  <c r="S190"/>
  <c r="Y4"/>
  <c r="R190" i="22"/>
  <c r="AE138" s="1"/>
  <c r="AA4"/>
  <c r="T4" s="1"/>
  <c r="AC4" i="23"/>
  <c r="AB4" l="1"/>
  <c r="AB138"/>
  <c r="AA190" i="22"/>
  <c r="W190" s="1"/>
  <c r="AB184" i="23"/>
  <c r="AB188"/>
  <c r="AB185"/>
  <c r="Y190"/>
  <c r="X190" s="1"/>
  <c r="AB186"/>
  <c r="AB187"/>
  <c r="AE4" i="22"/>
  <c r="Z4"/>
  <c r="Y4" s="1"/>
  <c r="Y190" s="1"/>
  <c r="W4"/>
  <c r="V4" s="1"/>
  <c r="V190" s="1"/>
  <c r="AE185"/>
  <c r="AE182"/>
  <c r="AE187"/>
  <c r="AE186"/>
  <c r="AE183"/>
  <c r="AE188"/>
  <c r="AE181"/>
  <c r="AE184"/>
  <c r="S4"/>
  <c r="X4" i="23"/>
  <c r="AD133"/>
  <c r="AD78"/>
  <c r="AD18"/>
  <c r="AD182"/>
  <c r="AD141"/>
  <c r="AD95"/>
  <c r="AD77"/>
  <c r="AD173"/>
  <c r="AD154"/>
  <c r="AD135"/>
  <c r="AD119"/>
  <c r="AD102"/>
  <c r="AD84"/>
  <c r="AD66"/>
  <c r="AD45"/>
  <c r="AD180"/>
  <c r="AD145"/>
  <c r="AD86"/>
  <c r="AD42"/>
  <c r="AD15"/>
  <c r="AD166"/>
  <c r="AD132"/>
  <c r="AD89"/>
  <c r="AD22"/>
  <c r="AD165"/>
  <c r="AD149"/>
  <c r="AD130"/>
  <c r="AD109"/>
  <c r="AD83"/>
  <c r="AD59"/>
  <c r="AD51"/>
  <c r="AD44"/>
  <c r="AD37"/>
  <c r="AD24"/>
  <c r="AD5"/>
  <c r="AD171"/>
  <c r="AD125"/>
  <c r="AD100"/>
  <c r="AD68"/>
  <c r="AD105"/>
  <c r="AD33"/>
  <c r="AD30"/>
  <c r="AD75"/>
  <c r="AD137"/>
  <c r="AD108"/>
  <c r="AD27"/>
  <c r="AD151"/>
  <c r="AD103"/>
  <c r="AD81"/>
  <c r="AD9"/>
  <c r="AD163"/>
  <c r="AD144"/>
  <c r="AD123"/>
  <c r="AD106"/>
  <c r="AD88"/>
  <c r="AD67"/>
  <c r="AD8"/>
  <c r="AD168"/>
  <c r="AD4"/>
  <c r="AD116"/>
  <c r="AD47"/>
  <c r="AD17"/>
  <c r="AD178"/>
  <c r="AD136"/>
  <c r="AD99"/>
  <c r="AD34"/>
  <c r="AD177"/>
  <c r="AD153"/>
  <c r="AD134"/>
  <c r="AD113"/>
  <c r="AD87"/>
  <c r="AD63"/>
  <c r="AD52"/>
  <c r="AD48"/>
  <c r="AD38"/>
  <c r="AD28"/>
  <c r="AD6"/>
  <c r="AD175"/>
  <c r="AD148"/>
  <c r="AD156"/>
  <c r="AD104"/>
  <c r="AD72"/>
  <c r="AD36"/>
  <c r="AD162"/>
  <c r="AD61"/>
  <c r="AD13"/>
  <c r="AD110"/>
  <c r="AD91"/>
  <c r="AD7"/>
  <c r="AD152"/>
  <c r="AD112"/>
  <c r="AD62"/>
  <c r="AD10"/>
  <c r="AD170"/>
  <c r="AD120"/>
  <c r="AD85"/>
  <c r="AD41"/>
  <c r="AD164"/>
  <c r="AD146"/>
  <c r="AD127"/>
  <c r="AD114"/>
  <c r="AD94"/>
  <c r="AD76"/>
  <c r="AD64"/>
  <c r="AD12"/>
  <c r="AD172"/>
  <c r="AD129"/>
  <c r="AD58"/>
  <c r="AD23"/>
  <c r="AD183"/>
  <c r="AD147"/>
  <c r="AD107"/>
  <c r="AD46"/>
  <c r="AD181"/>
  <c r="AD157"/>
  <c r="AD139"/>
  <c r="AD122"/>
  <c r="AD93"/>
  <c r="AD71"/>
  <c r="AD53"/>
  <c r="AD49"/>
  <c r="AD39"/>
  <c r="AD32"/>
  <c r="AD11"/>
  <c r="AD179"/>
  <c r="AD160"/>
  <c r="AD124"/>
  <c r="AD92"/>
  <c r="AD56"/>
  <c r="AD73"/>
  <c r="AD25"/>
  <c r="AD118"/>
  <c r="AD111"/>
  <c r="AD19"/>
  <c r="AD158"/>
  <c r="AD121"/>
  <c r="AD70"/>
  <c r="AD16"/>
  <c r="AD174"/>
  <c r="AD128"/>
  <c r="AD90"/>
  <c r="AD69"/>
  <c r="AD169"/>
  <c r="AD150"/>
  <c r="AD131"/>
  <c r="AD117"/>
  <c r="AD98"/>
  <c r="AD80"/>
  <c r="AD65"/>
  <c r="AD40"/>
  <c r="AD21"/>
  <c r="AD176"/>
  <c r="AD142"/>
  <c r="AD74"/>
  <c r="AD31"/>
  <c r="AD189"/>
  <c r="AD155"/>
  <c r="AD115"/>
  <c r="AD57"/>
  <c r="AD14"/>
  <c r="AD143"/>
  <c r="AD126"/>
  <c r="AD101"/>
  <c r="AD79"/>
  <c r="AD54"/>
  <c r="AD50"/>
  <c r="AD43"/>
  <c r="AD35"/>
  <c r="AD20"/>
  <c r="AD167"/>
  <c r="AD82"/>
  <c r="AD161"/>
  <c r="AD96"/>
  <c r="AD60"/>
  <c r="AD97"/>
  <c r="AD29"/>
  <c r="AD159"/>
  <c r="AD26"/>
  <c r="AD140"/>
  <c r="AD55"/>
  <c r="AE172" i="22"/>
  <c r="AE156"/>
  <c r="AE144"/>
  <c r="AE127"/>
  <c r="AE111"/>
  <c r="AE99"/>
  <c r="AE95"/>
  <c r="AE83"/>
  <c r="AE67"/>
  <c r="AE63"/>
  <c r="AE169"/>
  <c r="AE149"/>
  <c r="AE132"/>
  <c r="AE116"/>
  <c r="AE100"/>
  <c r="AE88"/>
  <c r="AE68"/>
  <c r="AE174"/>
  <c r="AE170"/>
  <c r="AE154"/>
  <c r="AE137"/>
  <c r="AE121"/>
  <c r="AE105"/>
  <c r="AE85"/>
  <c r="AE69"/>
  <c r="AE57"/>
  <c r="AE167"/>
  <c r="AE151"/>
  <c r="AE134"/>
  <c r="AE118"/>
  <c r="AE102"/>
  <c r="AE90"/>
  <c r="AE74"/>
  <c r="AE180"/>
  <c r="AE157"/>
  <c r="AE72"/>
  <c r="AE89"/>
  <c r="AE155"/>
  <c r="AE78"/>
  <c r="AE176"/>
  <c r="AE140"/>
  <c r="AE123"/>
  <c r="AE107"/>
  <c r="AE79"/>
  <c r="AE59"/>
  <c r="AE165"/>
  <c r="AE145"/>
  <c r="AE128"/>
  <c r="AE112"/>
  <c r="AE84"/>
  <c r="AE76"/>
  <c r="AE166"/>
  <c r="AE150"/>
  <c r="AE133"/>
  <c r="AE117"/>
  <c r="AE101"/>
  <c r="AE97"/>
  <c r="AE65"/>
  <c r="AE163"/>
  <c r="AE147"/>
  <c r="AE130"/>
  <c r="AE114"/>
  <c r="AE86"/>
  <c r="AE70"/>
  <c r="AE160"/>
  <c r="AE148"/>
  <c r="AE55"/>
  <c r="AE173"/>
  <c r="AE153"/>
  <c r="AE136"/>
  <c r="AE104"/>
  <c r="AE56"/>
  <c r="AE178"/>
  <c r="AE158"/>
  <c r="AE73"/>
  <c r="AE61"/>
  <c r="AE175"/>
  <c r="AE106"/>
  <c r="AE189"/>
  <c r="AE168"/>
  <c r="AE164"/>
  <c r="AE152"/>
  <c r="AE135"/>
  <c r="AE119"/>
  <c r="AE103"/>
  <c r="AE91"/>
  <c r="AE75"/>
  <c r="AE177"/>
  <c r="AE161"/>
  <c r="AE141"/>
  <c r="AE124"/>
  <c r="AE96"/>
  <c r="AE80"/>
  <c r="AE64"/>
  <c r="AE60"/>
  <c r="AE162"/>
  <c r="AE146"/>
  <c r="AE129"/>
  <c r="AE113"/>
  <c r="AE109"/>
  <c r="AE77"/>
  <c r="AE179"/>
  <c r="AE171"/>
  <c r="AE159"/>
  <c r="AE143"/>
  <c r="AE126"/>
  <c r="AE110"/>
  <c r="AE98"/>
  <c r="AE94"/>
  <c r="AE82"/>
  <c r="AE66"/>
  <c r="AE62"/>
  <c r="AE131"/>
  <c r="AE115"/>
  <c r="AE87"/>
  <c r="AE71"/>
  <c r="AE120"/>
  <c r="AE108"/>
  <c r="AE92"/>
  <c r="AE142"/>
  <c r="AE125"/>
  <c r="AE93"/>
  <c r="AE81"/>
  <c r="AE139"/>
  <c r="AE122"/>
  <c r="AE58"/>
  <c r="AE16"/>
  <c r="AE40"/>
  <c r="AE53"/>
  <c r="AE47"/>
  <c r="AE42"/>
  <c r="AE30"/>
  <c r="AE19"/>
  <c r="AE15"/>
  <c r="AE32"/>
  <c r="AE22"/>
  <c r="AE54"/>
  <c r="AE51"/>
  <c r="AE5"/>
  <c r="AE13"/>
  <c r="AE29"/>
  <c r="AE37"/>
  <c r="AE23"/>
  <c r="AE31"/>
  <c r="AE6"/>
  <c r="AE38"/>
  <c r="AE20"/>
  <c r="AE36"/>
  <c r="AE52"/>
  <c r="AE10"/>
  <c r="AE24"/>
  <c r="AE9"/>
  <c r="AE25"/>
  <c r="AE33"/>
  <c r="AE27"/>
  <c r="AE35"/>
  <c r="AE18"/>
  <c r="AE21"/>
  <c r="AE45"/>
  <c r="AE14"/>
  <c r="AE46"/>
  <c r="AE12"/>
  <c r="AE28"/>
  <c r="AE34"/>
  <c r="AE50"/>
  <c r="AE8"/>
  <c r="AE48"/>
  <c r="AE17"/>
  <c r="AE41"/>
  <c r="AE11"/>
  <c r="AE43"/>
  <c r="AE26"/>
  <c r="AE7"/>
  <c r="AE39"/>
  <c r="AE44"/>
  <c r="AE49"/>
  <c r="AC168" i="23"/>
  <c r="AC176"/>
  <c r="AC170"/>
  <c r="AC182"/>
  <c r="AC172"/>
  <c r="AC180"/>
  <c r="AC166"/>
  <c r="AC174"/>
  <c r="AC78"/>
  <c r="AC145"/>
  <c r="AC79"/>
  <c r="AC6"/>
  <c r="AC129"/>
  <c r="AC96"/>
  <c r="AC35"/>
  <c r="AC155"/>
  <c r="AC136"/>
  <c r="AC120"/>
  <c r="AC109"/>
  <c r="AC91"/>
  <c r="AC81"/>
  <c r="AC72"/>
  <c r="AC61"/>
  <c r="AC28"/>
  <c r="AC11"/>
  <c r="AC173"/>
  <c r="AC22"/>
  <c r="AC149"/>
  <c r="AC37"/>
  <c r="AC152"/>
  <c r="AC111"/>
  <c r="AC92"/>
  <c r="AC43"/>
  <c r="AC140"/>
  <c r="AC123"/>
  <c r="AC104"/>
  <c r="AC84"/>
  <c r="AC67"/>
  <c r="AC59"/>
  <c r="AC53"/>
  <c r="AC49"/>
  <c r="AC31"/>
  <c r="AC12"/>
  <c r="AC107"/>
  <c r="AC23"/>
  <c r="AC167"/>
  <c r="AC130"/>
  <c r="AC83"/>
  <c r="AC159"/>
  <c r="AC162"/>
  <c r="AC18"/>
  <c r="AC16"/>
  <c r="AC183"/>
  <c r="AC157"/>
  <c r="AC112"/>
  <c r="AC21"/>
  <c r="AC142"/>
  <c r="AC102"/>
  <c r="AC41"/>
  <c r="AC160"/>
  <c r="AC141"/>
  <c r="AC124"/>
  <c r="AC114"/>
  <c r="AC95"/>
  <c r="AC85"/>
  <c r="AC73"/>
  <c r="AC69"/>
  <c r="AC40"/>
  <c r="AC29"/>
  <c r="AC181"/>
  <c r="AC63"/>
  <c r="AC125"/>
  <c r="AC158"/>
  <c r="AC75"/>
  <c r="AC163"/>
  <c r="AC116"/>
  <c r="AC97"/>
  <c r="AC46"/>
  <c r="AC146"/>
  <c r="AC127"/>
  <c r="AC108"/>
  <c r="AC88"/>
  <c r="AC68"/>
  <c r="AC64"/>
  <c r="AC54"/>
  <c r="AC50"/>
  <c r="AC39"/>
  <c r="AC14"/>
  <c r="AC47"/>
  <c r="AC171"/>
  <c r="AC143"/>
  <c r="AC93"/>
  <c r="AC34"/>
  <c r="AC189"/>
  <c r="AC74"/>
  <c r="AC161"/>
  <c r="AC126"/>
  <c r="AC26"/>
  <c r="AC148"/>
  <c r="AC110"/>
  <c r="AC57"/>
  <c r="AC8"/>
  <c r="AC147"/>
  <c r="AC128"/>
  <c r="AC115"/>
  <c r="AC101"/>
  <c r="AC89"/>
  <c r="AC70"/>
  <c r="AC45"/>
  <c r="AC32"/>
  <c r="AC19"/>
  <c r="AC5"/>
  <c r="AC165"/>
  <c r="AC122"/>
  <c r="AC164"/>
  <c r="AC133"/>
  <c r="AC99"/>
  <c r="AC62"/>
  <c r="AC150"/>
  <c r="AC131"/>
  <c r="AC113"/>
  <c r="AC94"/>
  <c r="AC76"/>
  <c r="AC65"/>
  <c r="AC55"/>
  <c r="AC51"/>
  <c r="AC44"/>
  <c r="AC24"/>
  <c r="AC178"/>
  <c r="AC9"/>
  <c r="AC175"/>
  <c r="AC153"/>
  <c r="AC103"/>
  <c r="AC38"/>
  <c r="AC60"/>
  <c r="AC17"/>
  <c r="AC15"/>
  <c r="AC177"/>
  <c r="AC139"/>
  <c r="AC156"/>
  <c r="AC121"/>
  <c r="AC86"/>
  <c r="AC20"/>
  <c r="AC151"/>
  <c r="AC132"/>
  <c r="AC117"/>
  <c r="AC105"/>
  <c r="AC90"/>
  <c r="AC77"/>
  <c r="AC71"/>
  <c r="AC33"/>
  <c r="AC25"/>
  <c r="AC7"/>
  <c r="AC169"/>
  <c r="AC42"/>
  <c r="AC144"/>
  <c r="AC36"/>
  <c r="AC134"/>
  <c r="AC30"/>
  <c r="AC137"/>
  <c r="AC106"/>
  <c r="AC82"/>
  <c r="AC154"/>
  <c r="AC135"/>
  <c r="AC119"/>
  <c r="AC100"/>
  <c r="AC80"/>
  <c r="AC66"/>
  <c r="AC56"/>
  <c r="AC52"/>
  <c r="AC48"/>
  <c r="AC27"/>
  <c r="AC10"/>
  <c r="AC87"/>
  <c r="AC13"/>
  <c r="AC179"/>
  <c r="AC118"/>
  <c r="AC58"/>
  <c r="AC98"/>
  <c r="AB131"/>
  <c r="AB115"/>
  <c r="AB63"/>
  <c r="AB28"/>
  <c r="AB16"/>
  <c r="AB180"/>
  <c r="AB143"/>
  <c r="AB126"/>
  <c r="AB79"/>
  <c r="AB57"/>
  <c r="AB35"/>
  <c r="AB22"/>
  <c r="AB177"/>
  <c r="AB160"/>
  <c r="AB106"/>
  <c r="AB72"/>
  <c r="AB61"/>
  <c r="AB49"/>
  <c r="AB161"/>
  <c r="AB124"/>
  <c r="AB86"/>
  <c r="AB69"/>
  <c r="AB60"/>
  <c r="AB26"/>
  <c r="AB158"/>
  <c r="AB145"/>
  <c r="AB105"/>
  <c r="AB91"/>
  <c r="AB81"/>
  <c r="AB47"/>
  <c r="AB37"/>
  <c r="AB20"/>
  <c r="AB5"/>
  <c r="AB171"/>
  <c r="AB94"/>
  <c r="AB153"/>
  <c r="AB132"/>
  <c r="AB52"/>
  <c r="AB24"/>
  <c r="AB148"/>
  <c r="AB71"/>
  <c r="AB122"/>
  <c r="AB66"/>
  <c r="AB140"/>
  <c r="AB100"/>
  <c r="AB74"/>
  <c r="AB36"/>
  <c r="AB17"/>
  <c r="AB183"/>
  <c r="AB170"/>
  <c r="AB130"/>
  <c r="AB112"/>
  <c r="AB99"/>
  <c r="AB83"/>
  <c r="AB62"/>
  <c r="AB41"/>
  <c r="AB23"/>
  <c r="AB179"/>
  <c r="AB165"/>
  <c r="AB162"/>
  <c r="AB111"/>
  <c r="AB82"/>
  <c r="AB65"/>
  <c r="AB51"/>
  <c r="AB163"/>
  <c r="AB133"/>
  <c r="AB96"/>
  <c r="AB50"/>
  <c r="AB30"/>
  <c r="AB12"/>
  <c r="AB146"/>
  <c r="AB109"/>
  <c r="AB95"/>
  <c r="AB85"/>
  <c r="AB59"/>
  <c r="AB38"/>
  <c r="AB25"/>
  <c r="AB6"/>
  <c r="AB175"/>
  <c r="AB108"/>
  <c r="AB42"/>
  <c r="AB157"/>
  <c r="AB136"/>
  <c r="AB64"/>
  <c r="AB32"/>
  <c r="AB166"/>
  <c r="AB152"/>
  <c r="AB107"/>
  <c r="AB147"/>
  <c r="AB78"/>
  <c r="AB144"/>
  <c r="AB118"/>
  <c r="AB104"/>
  <c r="AB84"/>
  <c r="AB46"/>
  <c r="AB18"/>
  <c r="AB10"/>
  <c r="AB174"/>
  <c r="AB134"/>
  <c r="AB117"/>
  <c r="AB103"/>
  <c r="AB87"/>
  <c r="AB45"/>
  <c r="AB27"/>
  <c r="AB9"/>
  <c r="AB169"/>
  <c r="AB129"/>
  <c r="AB92"/>
  <c r="AB53"/>
  <c r="AB142"/>
  <c r="AB73"/>
  <c r="AB67"/>
  <c r="AB34"/>
  <c r="AB13"/>
  <c r="AB176"/>
  <c r="AB150"/>
  <c r="AB114"/>
  <c r="AB98"/>
  <c r="AB89"/>
  <c r="AB68"/>
  <c r="AB39"/>
  <c r="AB29"/>
  <c r="AB7"/>
  <c r="AB189"/>
  <c r="AB181"/>
  <c r="AB135"/>
  <c r="AB75"/>
  <c r="AB141"/>
  <c r="AB120"/>
  <c r="AB44"/>
  <c r="AB178"/>
  <c r="AB156"/>
  <c r="AB119"/>
  <c r="AB151"/>
  <c r="AB90"/>
  <c r="AB172"/>
  <c r="AB121"/>
  <c r="AB127"/>
  <c r="AB113"/>
  <c r="AB88"/>
  <c r="AB19"/>
  <c r="AB15"/>
  <c r="AB139"/>
  <c r="AB125"/>
  <c r="AB93"/>
  <c r="AB56"/>
  <c r="AB31"/>
  <c r="AB14"/>
  <c r="AB173"/>
  <c r="AB137"/>
  <c r="AB97"/>
  <c r="AB70"/>
  <c r="AB54"/>
  <c r="AB168"/>
  <c r="AB159"/>
  <c r="AB110"/>
  <c r="AB77"/>
  <c r="AB55"/>
  <c r="AB40"/>
  <c r="AB21"/>
  <c r="AB182"/>
  <c r="AB154"/>
  <c r="AB116"/>
  <c r="AB101"/>
  <c r="AB76"/>
  <c r="AB43"/>
  <c r="AB33"/>
  <c r="AB11"/>
  <c r="AB167"/>
  <c r="AB164"/>
  <c r="AB80"/>
  <c r="AB149"/>
  <c r="AB128"/>
  <c r="AB48"/>
  <c r="AB8"/>
  <c r="AB123"/>
  <c r="AB155"/>
  <c r="AB102"/>
  <c r="AB58"/>
  <c r="V4"/>
  <c r="T190" l="1"/>
  <c r="Z4"/>
  <c r="AC4" i="22"/>
  <c r="S190"/>
  <c r="AB4"/>
  <c r="V190" i="23"/>
  <c r="AB190" i="22" l="1"/>
  <c r="AB193" s="1"/>
  <c r="Z190" i="23"/>
  <c r="Z7" i="13" l="1"/>
  <c r="AG7" l="1"/>
  <c r="Z195"/>
  <c r="Z196" s="1"/>
  <c r="AN7" l="1"/>
  <c r="AG195"/>
  <c r="AG196" s="1"/>
  <c r="AE7"/>
  <c r="AC7"/>
  <c r="AB7"/>
  <c r="F8" i="30" s="1"/>
  <c r="AD7" i="13"/>
  <c r="AF7"/>
  <c r="D8" i="30" l="1"/>
  <c r="D43"/>
  <c r="C4" i="23"/>
  <c r="F39" i="30"/>
  <c r="F11"/>
  <c r="F32"/>
  <c r="F25"/>
  <c r="F53"/>
  <c r="F46"/>
  <c r="F18"/>
  <c r="AE195" i="13"/>
  <c r="AE196" s="1"/>
  <c r="F43" i="30"/>
  <c r="F15"/>
  <c r="F36"/>
  <c r="F29"/>
  <c r="F50"/>
  <c r="F22"/>
  <c r="AB195" i="13"/>
  <c r="AB196" s="1"/>
  <c r="F31" i="30"/>
  <c r="F52"/>
  <c r="F24"/>
  <c r="F45"/>
  <c r="F38"/>
  <c r="F17"/>
  <c r="F10"/>
  <c r="AD195" i="13"/>
  <c r="AD196" s="1"/>
  <c r="D36" i="30"/>
  <c r="AN195" i="13"/>
  <c r="AN196" s="1"/>
  <c r="F47" i="30"/>
  <c r="F19"/>
  <c r="F40"/>
  <c r="F12"/>
  <c r="F33"/>
  <c r="F26"/>
  <c r="F54"/>
  <c r="AF195" i="13"/>
  <c r="AF196" s="1"/>
  <c r="F51" i="30"/>
  <c r="F23"/>
  <c r="F44"/>
  <c r="F16"/>
  <c r="F37"/>
  <c r="F30"/>
  <c r="F9"/>
  <c r="AC195" i="13"/>
  <c r="AC196" s="1"/>
  <c r="AG3" i="22"/>
  <c r="AF3"/>
  <c r="AE3"/>
  <c r="C190" i="23" l="1"/>
  <c r="D187" s="1"/>
  <c r="E138"/>
  <c r="E19"/>
  <c r="E91"/>
  <c r="E98"/>
  <c r="E184"/>
  <c r="E148"/>
  <c r="E18"/>
  <c r="E43"/>
  <c r="E173"/>
  <c r="E40"/>
  <c r="E88"/>
  <c r="E166"/>
  <c r="E68"/>
  <c r="E52"/>
  <c r="E83"/>
  <c r="E46"/>
  <c r="E77"/>
  <c r="E185"/>
  <c r="E152"/>
  <c r="E159"/>
  <c r="E133"/>
  <c r="E141"/>
  <c r="E115"/>
  <c r="E36"/>
  <c r="E15"/>
  <c r="E39"/>
  <c r="E171"/>
  <c r="E162"/>
  <c r="E153"/>
  <c r="E119"/>
  <c r="E126"/>
  <c r="E103"/>
  <c r="E108"/>
  <c r="E78"/>
  <c r="E45"/>
  <c r="E63"/>
  <c r="E65"/>
  <c r="E22"/>
  <c r="E139"/>
  <c r="E129"/>
  <c r="E120"/>
  <c r="E89"/>
  <c r="E94"/>
  <c r="E80"/>
  <c r="E62"/>
  <c r="E37"/>
  <c r="E180"/>
  <c r="E69"/>
  <c r="E51"/>
  <c r="E59"/>
  <c r="E10"/>
  <c r="E55"/>
  <c r="E7"/>
  <c r="E49"/>
  <c r="E38"/>
  <c r="E28"/>
  <c r="E31"/>
  <c r="E72"/>
  <c r="E90"/>
  <c r="E130"/>
  <c r="E163"/>
  <c r="E35"/>
  <c r="E13"/>
  <c r="E121"/>
  <c r="E154"/>
  <c r="E186"/>
  <c r="E66"/>
  <c r="E112"/>
  <c r="E145"/>
  <c r="E177"/>
  <c r="E33"/>
  <c r="E11"/>
  <c r="E113"/>
  <c r="E144"/>
  <c r="E176"/>
  <c r="E86"/>
  <c r="E118"/>
  <c r="E151"/>
  <c r="E183"/>
  <c r="E50"/>
  <c r="E95"/>
  <c r="E125"/>
  <c r="E158"/>
  <c r="E74"/>
  <c r="E100"/>
  <c r="E132"/>
  <c r="E165"/>
  <c r="E27"/>
  <c r="E85"/>
  <c r="E109"/>
  <c r="E140"/>
  <c r="E172"/>
  <c r="E8"/>
  <c r="E189"/>
  <c r="E34"/>
  <c r="E30"/>
  <c r="E44"/>
  <c r="E53"/>
  <c r="E47"/>
  <c r="E16"/>
  <c r="E42"/>
  <c r="E20"/>
  <c r="E14"/>
  <c r="E23"/>
  <c r="E70"/>
  <c r="E122"/>
  <c r="E155"/>
  <c r="E25"/>
  <c r="E84"/>
  <c r="E107"/>
  <c r="E146"/>
  <c r="E178"/>
  <c r="E56"/>
  <c r="E104"/>
  <c r="E136"/>
  <c r="E169"/>
  <c r="E21"/>
  <c r="E82"/>
  <c r="E105"/>
  <c r="E135"/>
  <c r="E168"/>
  <c r="E64"/>
  <c r="E110"/>
  <c r="E143"/>
  <c r="E175"/>
  <c r="E41"/>
  <c r="E87"/>
  <c r="E117"/>
  <c r="E150"/>
  <c r="E182"/>
  <c r="E92"/>
  <c r="E124"/>
  <c r="E157"/>
  <c r="E17"/>
  <c r="E75"/>
  <c r="E101"/>
  <c r="E131"/>
  <c r="E164"/>
  <c r="E79"/>
  <c r="E4"/>
  <c r="G11" i="30"/>
  <c r="E114" i="23"/>
  <c r="E26"/>
  <c r="E57"/>
  <c r="E32"/>
  <c r="E60"/>
  <c r="E12"/>
  <c r="E6"/>
  <c r="E5"/>
  <c r="E24"/>
  <c r="E67"/>
  <c r="E61"/>
  <c r="E58"/>
  <c r="E106"/>
  <c r="E147"/>
  <c r="E179"/>
  <c r="E73"/>
  <c r="E99"/>
  <c r="E137"/>
  <c r="E170"/>
  <c r="E81"/>
  <c r="E96"/>
  <c r="E128"/>
  <c r="E161"/>
  <c r="E187"/>
  <c r="E54"/>
  <c r="E97"/>
  <c r="E127"/>
  <c r="E160"/>
  <c r="E76"/>
  <c r="E102"/>
  <c r="E134"/>
  <c r="E167"/>
  <c r="E29"/>
  <c r="E9"/>
  <c r="E111"/>
  <c r="E142"/>
  <c r="E174"/>
  <c r="E71"/>
  <c r="E116"/>
  <c r="E149"/>
  <c r="E181"/>
  <c r="E48"/>
  <c r="E93"/>
  <c r="E123"/>
  <c r="E156"/>
  <c r="E188"/>
  <c r="F58" i="30"/>
  <c r="F61"/>
  <c r="G53"/>
  <c r="G18"/>
  <c r="D186" i="23"/>
  <c r="G25" i="30"/>
  <c r="G39"/>
  <c r="F57"/>
  <c r="F59"/>
  <c r="AA195" i="13"/>
  <c r="AA196" s="1"/>
  <c r="G32" i="30"/>
  <c r="G46"/>
  <c r="I43" s="1"/>
  <c r="F60"/>
  <c r="AD3" i="23"/>
  <c r="AC3"/>
  <c r="AB3"/>
  <c r="B89" i="20"/>
  <c r="B88"/>
  <c r="B87"/>
  <c r="D185" i="23" l="1"/>
  <c r="D138"/>
  <c r="O4"/>
  <c r="H5"/>
  <c r="D184"/>
  <c r="P7"/>
  <c r="O5"/>
  <c r="O7"/>
  <c r="P8"/>
  <c r="P4"/>
  <c r="O6"/>
  <c r="P6"/>
  <c r="P5"/>
  <c r="O8"/>
  <c r="G60" i="30"/>
  <c r="H8" s="1"/>
  <c r="I8"/>
  <c r="D13" i="20"/>
  <c r="Q13" s="1"/>
  <c r="D8"/>
  <c r="P9" i="23" l="1"/>
  <c r="L18" i="30"/>
  <c r="H43"/>
  <c r="Q8" i="20"/>
  <c r="F12"/>
  <c r="F13"/>
  <c r="F18"/>
  <c r="H50" i="30" l="1"/>
  <c r="H36"/>
  <c r="H29"/>
  <c r="H22"/>
  <c r="H15"/>
  <c r="F11" i="20"/>
  <c r="N8" i="30" l="1"/>
  <c r="N9" s="1"/>
  <c r="N10" s="1"/>
  <c r="M8"/>
  <c r="M9" s="1"/>
  <c r="H57"/>
  <c r="N11"/>
  <c r="M11"/>
  <c r="F10" i="20"/>
  <c r="M10" i="30" l="1"/>
  <c r="AH7" i="13"/>
  <c r="F9" i="20"/>
  <c r="D29" i="30"/>
  <c r="D15"/>
  <c r="D50"/>
  <c r="D22"/>
  <c r="AO7" i="13" l="1"/>
  <c r="AH195"/>
  <c r="AH196" s="1"/>
  <c r="M12" i="30"/>
  <c r="I15"/>
  <c r="D57"/>
  <c r="AP194" i="13"/>
  <c r="I22" i="30"/>
  <c r="I50"/>
  <c r="I29"/>
  <c r="I36"/>
  <c r="AP7" i="13" l="1"/>
  <c r="AO195"/>
  <c r="E43" i="30"/>
  <c r="I57"/>
  <c r="D180" i="23"/>
  <c r="D176"/>
  <c r="D172"/>
  <c r="D168"/>
  <c r="D189"/>
  <c r="D182"/>
  <c r="D178"/>
  <c r="D174"/>
  <c r="D170"/>
  <c r="D166"/>
  <c r="D188"/>
  <c r="D165"/>
  <c r="D169"/>
  <c r="D171"/>
  <c r="D179"/>
  <c r="D181"/>
  <c r="D173"/>
  <c r="D167"/>
  <c r="D175"/>
  <c r="D183"/>
  <c r="D177"/>
  <c r="C4" i="22"/>
  <c r="D190" i="23"/>
  <c r="D162"/>
  <c r="D158"/>
  <c r="D163"/>
  <c r="D161"/>
  <c r="D159"/>
  <c r="D157"/>
  <c r="D155"/>
  <c r="D153"/>
  <c r="D151"/>
  <c r="D149"/>
  <c r="D147"/>
  <c r="D145"/>
  <c r="D143"/>
  <c r="D141"/>
  <c r="D139"/>
  <c r="D136"/>
  <c r="D134"/>
  <c r="D132"/>
  <c r="D130"/>
  <c r="D128"/>
  <c r="D126"/>
  <c r="D124"/>
  <c r="D122"/>
  <c r="D120"/>
  <c r="D118"/>
  <c r="D116"/>
  <c r="D114"/>
  <c r="D112"/>
  <c r="D110"/>
  <c r="D108"/>
  <c r="D106"/>
  <c r="D104"/>
  <c r="D102"/>
  <c r="D100"/>
  <c r="D98"/>
  <c r="D96"/>
  <c r="D94"/>
  <c r="D92"/>
  <c r="D90"/>
  <c r="D88"/>
  <c r="D86"/>
  <c r="D84"/>
  <c r="D82"/>
  <c r="D80"/>
  <c r="D78"/>
  <c r="D76"/>
  <c r="D74"/>
  <c r="D72"/>
  <c r="D70"/>
  <c r="D68"/>
  <c r="D66"/>
  <c r="D64"/>
  <c r="D62"/>
  <c r="D60"/>
  <c r="D58"/>
  <c r="D56"/>
  <c r="D54"/>
  <c r="D52"/>
  <c r="D50"/>
  <c r="D48"/>
  <c r="D46"/>
  <c r="D44"/>
  <c r="D42"/>
  <c r="D40"/>
  <c r="D38"/>
  <c r="D36"/>
  <c r="D34"/>
  <c r="D32"/>
  <c r="D30"/>
  <c r="D28"/>
  <c r="D26"/>
  <c r="D24"/>
  <c r="D22"/>
  <c r="D20"/>
  <c r="D18"/>
  <c r="D16"/>
  <c r="D14"/>
  <c r="D12"/>
  <c r="D10"/>
  <c r="D8"/>
  <c r="D6"/>
  <c r="D164"/>
  <c r="D160"/>
  <c r="D156"/>
  <c r="D154"/>
  <c r="D152"/>
  <c r="D150"/>
  <c r="D148"/>
  <c r="D146"/>
  <c r="D144"/>
  <c r="D142"/>
  <c r="D140"/>
  <c r="D137"/>
  <c r="D135"/>
  <c r="D133"/>
  <c r="D131"/>
  <c r="D129"/>
  <c r="D127"/>
  <c r="D125"/>
  <c r="D123"/>
  <c r="D121"/>
  <c r="D119"/>
  <c r="D117"/>
  <c r="D115"/>
  <c r="D113"/>
  <c r="D111"/>
  <c r="D109"/>
  <c r="D107"/>
  <c r="D105"/>
  <c r="D103"/>
  <c r="D101"/>
  <c r="D99"/>
  <c r="D97"/>
  <c r="D95"/>
  <c r="D93"/>
  <c r="D91"/>
  <c r="D89"/>
  <c r="D87"/>
  <c r="D85"/>
  <c r="D83"/>
  <c r="D81"/>
  <c r="D79"/>
  <c r="D77"/>
  <c r="D75"/>
  <c r="D73"/>
  <c r="D71"/>
  <c r="D69"/>
  <c r="D67"/>
  <c r="D65"/>
  <c r="D63"/>
  <c r="D61"/>
  <c r="D59"/>
  <c r="D57"/>
  <c r="D55"/>
  <c r="D53"/>
  <c r="D51"/>
  <c r="D49"/>
  <c r="D47"/>
  <c r="D45"/>
  <c r="D43"/>
  <c r="D41"/>
  <c r="D39"/>
  <c r="D37"/>
  <c r="D35"/>
  <c r="D33"/>
  <c r="D31"/>
  <c r="D29"/>
  <c r="D27"/>
  <c r="D25"/>
  <c r="D23"/>
  <c r="D21"/>
  <c r="D19"/>
  <c r="D17"/>
  <c r="D15"/>
  <c r="D13"/>
  <c r="D11"/>
  <c r="D9"/>
  <c r="D7"/>
  <c r="D5"/>
  <c r="D4"/>
  <c r="N12" i="30"/>
  <c r="F77" i="24"/>
  <c r="C77"/>
  <c r="F76"/>
  <c r="C76"/>
  <c r="F75"/>
  <c r="C75"/>
  <c r="F74"/>
  <c r="C74"/>
  <c r="F73"/>
  <c r="C73"/>
  <c r="F72"/>
  <c r="C72"/>
  <c r="F71"/>
  <c r="C71"/>
  <c r="F70"/>
  <c r="C70"/>
  <c r="F69"/>
  <c r="C69"/>
  <c r="F68"/>
  <c r="C68"/>
  <c r="F67"/>
  <c r="C67"/>
  <c r="F66"/>
  <c r="C66"/>
  <c r="F65"/>
  <c r="C65"/>
  <c r="F64"/>
  <c r="C64"/>
  <c r="F63"/>
  <c r="C63"/>
  <c r="F62"/>
  <c r="C62"/>
  <c r="F61"/>
  <c r="C61"/>
  <c r="F60"/>
  <c r="C60"/>
  <c r="F59"/>
  <c r="C59"/>
  <c r="F58"/>
  <c r="C58"/>
  <c r="F57"/>
  <c r="C57"/>
  <c r="F56"/>
  <c r="C56"/>
  <c r="F55"/>
  <c r="C55"/>
  <c r="F54"/>
  <c r="C54"/>
  <c r="F53"/>
  <c r="C53"/>
  <c r="F52"/>
  <c r="C52"/>
  <c r="F51"/>
  <c r="C51"/>
  <c r="F50"/>
  <c r="C50"/>
  <c r="F49"/>
  <c r="F48"/>
  <c r="C48"/>
  <c r="E138" i="22" l="1"/>
  <c r="AO196" i="13"/>
  <c r="AP195"/>
  <c r="C190" i="22"/>
  <c r="E183"/>
  <c r="E185"/>
  <c r="E187"/>
  <c r="E189"/>
  <c r="E182"/>
  <c r="E184"/>
  <c r="E186"/>
  <c r="E188"/>
  <c r="E4"/>
  <c r="E74"/>
  <c r="E94"/>
  <c r="E139"/>
  <c r="E159"/>
  <c r="E49"/>
  <c r="E43"/>
  <c r="E57"/>
  <c r="E65"/>
  <c r="E73"/>
  <c r="E81"/>
  <c r="E89"/>
  <c r="E97"/>
  <c r="E105"/>
  <c r="E113"/>
  <c r="E121"/>
  <c r="E129"/>
  <c r="E137"/>
  <c r="E146"/>
  <c r="E154"/>
  <c r="E162"/>
  <c r="E170"/>
  <c r="E178"/>
  <c r="E86"/>
  <c r="E134"/>
  <c r="E17"/>
  <c r="E157"/>
  <c r="E165"/>
  <c r="E173"/>
  <c r="E181"/>
  <c r="E5"/>
  <c r="E21"/>
  <c r="E37"/>
  <c r="E53"/>
  <c r="E15"/>
  <c r="E31"/>
  <c r="E47"/>
  <c r="E102"/>
  <c r="E33"/>
  <c r="E6"/>
  <c r="E22"/>
  <c r="E38"/>
  <c r="E54"/>
  <c r="E18"/>
  <c r="E32"/>
  <c r="E122"/>
  <c r="E56"/>
  <c r="E80"/>
  <c r="E96"/>
  <c r="E120"/>
  <c r="E153"/>
  <c r="E179"/>
  <c r="E27"/>
  <c r="E55"/>
  <c r="E79"/>
  <c r="E95"/>
  <c r="E119"/>
  <c r="E144"/>
  <c r="E160"/>
  <c r="E46"/>
  <c r="E52"/>
  <c r="E10"/>
  <c r="E26"/>
  <c r="E42"/>
  <c r="E8"/>
  <c r="E24"/>
  <c r="E40"/>
  <c r="E110"/>
  <c r="E167"/>
  <c r="E35"/>
  <c r="E60"/>
  <c r="E68"/>
  <c r="E76"/>
  <c r="E84"/>
  <c r="E92"/>
  <c r="E100"/>
  <c r="E108"/>
  <c r="E116"/>
  <c r="E124"/>
  <c r="E132"/>
  <c r="E141"/>
  <c r="E149"/>
  <c r="E58"/>
  <c r="E78"/>
  <c r="E155"/>
  <c r="E171"/>
  <c r="E51"/>
  <c r="E59"/>
  <c r="E67"/>
  <c r="E75"/>
  <c r="E83"/>
  <c r="E91"/>
  <c r="E99"/>
  <c r="E107"/>
  <c r="E115"/>
  <c r="E123"/>
  <c r="E131"/>
  <c r="E140"/>
  <c r="E148"/>
  <c r="E156"/>
  <c r="E164"/>
  <c r="E172"/>
  <c r="E180"/>
  <c r="E12"/>
  <c r="E28"/>
  <c r="E44"/>
  <c r="E16"/>
  <c r="E11"/>
  <c r="E72"/>
  <c r="E112"/>
  <c r="E136"/>
  <c r="E143"/>
  <c r="E71"/>
  <c r="E103"/>
  <c r="E127"/>
  <c r="E152"/>
  <c r="E176"/>
  <c r="E20"/>
  <c r="E62"/>
  <c r="E106"/>
  <c r="E126"/>
  <c r="E175"/>
  <c r="E25"/>
  <c r="E19"/>
  <c r="E61"/>
  <c r="E69"/>
  <c r="E77"/>
  <c r="E85"/>
  <c r="E93"/>
  <c r="E101"/>
  <c r="E109"/>
  <c r="E117"/>
  <c r="E125"/>
  <c r="E133"/>
  <c r="E142"/>
  <c r="E150"/>
  <c r="E158"/>
  <c r="E166"/>
  <c r="E174"/>
  <c r="E70"/>
  <c r="E151"/>
  <c r="E41"/>
  <c r="E161"/>
  <c r="E169"/>
  <c r="E177"/>
  <c r="E13"/>
  <c r="E29"/>
  <c r="E45"/>
  <c r="E7"/>
  <c r="E23"/>
  <c r="E39"/>
  <c r="E118"/>
  <c r="E9"/>
  <c r="E34"/>
  <c r="E48"/>
  <c r="E64"/>
  <c r="E88"/>
  <c r="E104"/>
  <c r="E128"/>
  <c r="E145"/>
  <c r="E90"/>
  <c r="E63"/>
  <c r="E87"/>
  <c r="E111"/>
  <c r="E135"/>
  <c r="E168"/>
  <c r="E36"/>
  <c r="E147"/>
  <c r="E66"/>
  <c r="E114"/>
  <c r="E30"/>
  <c r="E163"/>
  <c r="E98"/>
  <c r="E130"/>
  <c r="E14"/>
  <c r="E82"/>
  <c r="E50"/>
  <c r="F47" i="24"/>
  <c r="C47"/>
  <c r="R45"/>
  <c r="Q45"/>
  <c r="P45"/>
  <c r="H5" i="22" l="1"/>
  <c r="D138"/>
  <c r="D183"/>
  <c r="D187"/>
  <c r="D182"/>
  <c r="D185"/>
  <c r="D186"/>
  <c r="D184"/>
  <c r="L24"/>
  <c r="L22"/>
  <c r="L20"/>
  <c r="M24"/>
  <c r="M22"/>
  <c r="M20"/>
  <c r="L23"/>
  <c r="L21"/>
  <c r="M23"/>
  <c r="M21"/>
  <c r="D18"/>
  <c r="D34"/>
  <c r="D8"/>
  <c r="D24"/>
  <c r="D40"/>
  <c r="D110"/>
  <c r="D167"/>
  <c r="D35"/>
  <c r="D60"/>
  <c r="D68"/>
  <c r="D76"/>
  <c r="D84"/>
  <c r="D92"/>
  <c r="D100"/>
  <c r="D108"/>
  <c r="D116"/>
  <c r="D124"/>
  <c r="D132"/>
  <c r="D141"/>
  <c r="D149"/>
  <c r="D58"/>
  <c r="D78"/>
  <c r="D155"/>
  <c r="D171"/>
  <c r="D51"/>
  <c r="D59"/>
  <c r="D67"/>
  <c r="D75"/>
  <c r="D83"/>
  <c r="D91"/>
  <c r="D99"/>
  <c r="D107"/>
  <c r="D115"/>
  <c r="D123"/>
  <c r="D131"/>
  <c r="D140"/>
  <c r="D148"/>
  <c r="D156"/>
  <c r="D164"/>
  <c r="D172"/>
  <c r="D180"/>
  <c r="D12"/>
  <c r="D28"/>
  <c r="D44"/>
  <c r="D188"/>
  <c r="D43"/>
  <c r="D65"/>
  <c r="D81"/>
  <c r="D97"/>
  <c r="D113"/>
  <c r="D129"/>
  <c r="D146"/>
  <c r="D162"/>
  <c r="D178"/>
  <c r="D17"/>
  <c r="D177"/>
  <c r="D21"/>
  <c r="D53"/>
  <c r="D47"/>
  <c r="D118"/>
  <c r="D62"/>
  <c r="D106"/>
  <c r="D126"/>
  <c r="D175"/>
  <c r="D25"/>
  <c r="D19"/>
  <c r="D61"/>
  <c r="D69"/>
  <c r="D77"/>
  <c r="D85"/>
  <c r="D93"/>
  <c r="D101"/>
  <c r="D109"/>
  <c r="D117"/>
  <c r="D125"/>
  <c r="D133"/>
  <c r="D142"/>
  <c r="D150"/>
  <c r="D158"/>
  <c r="D166"/>
  <c r="D174"/>
  <c r="D86"/>
  <c r="D134"/>
  <c r="D41"/>
  <c r="D157"/>
  <c r="D165"/>
  <c r="D173"/>
  <c r="D181"/>
  <c r="D13"/>
  <c r="D29"/>
  <c r="D45"/>
  <c r="D7"/>
  <c r="D23"/>
  <c r="D39"/>
  <c r="D102"/>
  <c r="D9"/>
  <c r="D6"/>
  <c r="D22"/>
  <c r="D38"/>
  <c r="D54"/>
  <c r="D161"/>
  <c r="D31"/>
  <c r="D10"/>
  <c r="D26"/>
  <c r="D42"/>
  <c r="D16"/>
  <c r="D32"/>
  <c r="D48"/>
  <c r="D122"/>
  <c r="D11"/>
  <c r="D56"/>
  <c r="D64"/>
  <c r="D72"/>
  <c r="D80"/>
  <c r="D88"/>
  <c r="D96"/>
  <c r="D104"/>
  <c r="D112"/>
  <c r="D120"/>
  <c r="D128"/>
  <c r="D136"/>
  <c r="D145"/>
  <c r="D153"/>
  <c r="D90"/>
  <c r="D143"/>
  <c r="D179"/>
  <c r="D27"/>
  <c r="D55"/>
  <c r="D63"/>
  <c r="D71"/>
  <c r="D79"/>
  <c r="D87"/>
  <c r="D95"/>
  <c r="D103"/>
  <c r="D111"/>
  <c r="D119"/>
  <c r="D127"/>
  <c r="D135"/>
  <c r="D144"/>
  <c r="D152"/>
  <c r="D160"/>
  <c r="D168"/>
  <c r="D176"/>
  <c r="D189"/>
  <c r="D46"/>
  <c r="D20"/>
  <c r="D36"/>
  <c r="D52"/>
  <c r="D74"/>
  <c r="D94"/>
  <c r="D139"/>
  <c r="D159"/>
  <c r="D49"/>
  <c r="D57"/>
  <c r="D73"/>
  <c r="D89"/>
  <c r="D105"/>
  <c r="D121"/>
  <c r="D137"/>
  <c r="D154"/>
  <c r="D170"/>
  <c r="D70"/>
  <c r="D151"/>
  <c r="D169"/>
  <c r="D5"/>
  <c r="D37"/>
  <c r="D15"/>
  <c r="D33"/>
  <c r="D163"/>
  <c r="D30"/>
  <c r="D66"/>
  <c r="D114"/>
  <c r="D147"/>
  <c r="D82"/>
  <c r="D98"/>
  <c r="D130"/>
  <c r="D14"/>
  <c r="D50"/>
  <c r="D4"/>
  <c r="Z190"/>
  <c r="T190"/>
  <c r="C34" i="24"/>
  <c r="C33"/>
  <c r="C32"/>
  <c r="C31"/>
  <c r="C30"/>
  <c r="M25" i="22" l="1"/>
  <c r="D190"/>
  <c r="E76" i="25"/>
  <c r="C76"/>
  <c r="E75"/>
  <c r="C75"/>
  <c r="E74"/>
  <c r="C74"/>
  <c r="E73"/>
  <c r="C73"/>
  <c r="E72"/>
  <c r="C72"/>
  <c r="E71"/>
  <c r="C71"/>
  <c r="E70"/>
  <c r="C70"/>
  <c r="E69"/>
  <c r="C69"/>
  <c r="E68"/>
  <c r="C68"/>
  <c r="E67"/>
  <c r="C67"/>
  <c r="E66"/>
  <c r="C66"/>
  <c r="E65"/>
  <c r="C65"/>
  <c r="E64"/>
  <c r="C64"/>
  <c r="E63"/>
  <c r="C63"/>
  <c r="E62"/>
  <c r="C62"/>
  <c r="E61"/>
  <c r="C61"/>
  <c r="E60"/>
  <c r="C60"/>
  <c r="E59"/>
  <c r="C59"/>
  <c r="E58"/>
  <c r="C58"/>
  <c r="E57"/>
  <c r="C57"/>
  <c r="E56"/>
  <c r="C56"/>
  <c r="E55"/>
  <c r="C55"/>
  <c r="E54"/>
  <c r="C54"/>
  <c r="E53"/>
  <c r="C53"/>
  <c r="E52"/>
  <c r="C52"/>
  <c r="E51"/>
  <c r="C51"/>
  <c r="E50"/>
  <c r="C50"/>
  <c r="E49"/>
  <c r="C49"/>
  <c r="E48"/>
  <c r="C48"/>
  <c r="I53" l="1"/>
  <c r="I68"/>
  <c r="H68" s="1"/>
  <c r="I72"/>
  <c r="H72" s="1"/>
  <c r="I74"/>
  <c r="H74" s="1"/>
  <c r="I76"/>
  <c r="F76" s="1"/>
  <c r="I73"/>
  <c r="I75"/>
  <c r="E47"/>
  <c r="C47"/>
  <c r="C46"/>
  <c r="C77" s="1"/>
  <c r="N45"/>
  <c r="M45"/>
  <c r="L45"/>
  <c r="C34"/>
  <c r="C33"/>
  <c r="C32"/>
  <c r="C31"/>
  <c r="C30"/>
  <c r="C4"/>
  <c r="D53" l="1"/>
  <c r="H53"/>
  <c r="F74"/>
  <c r="E77"/>
  <c r="D76"/>
  <c r="F72"/>
  <c r="F68"/>
  <c r="H76"/>
  <c r="L53"/>
  <c r="I46"/>
  <c r="F53"/>
  <c r="H75"/>
  <c r="F75"/>
  <c r="D75"/>
  <c r="H73"/>
  <c r="F73"/>
  <c r="D73"/>
  <c r="D74"/>
  <c r="D72"/>
  <c r="D68"/>
  <c r="F46" l="1"/>
  <c r="L70"/>
  <c r="D46"/>
  <c r="M46"/>
  <c r="M69"/>
  <c r="M76"/>
  <c r="M74"/>
  <c r="M57"/>
  <c r="M68"/>
  <c r="M60"/>
  <c r="M59"/>
  <c r="M66"/>
  <c r="M58"/>
  <c r="J74"/>
  <c r="M65"/>
  <c r="M51"/>
  <c r="M52"/>
  <c r="M48"/>
  <c r="M72"/>
  <c r="L59"/>
  <c r="M50"/>
  <c r="M70"/>
  <c r="M49"/>
  <c r="M61"/>
  <c r="M73"/>
  <c r="M64"/>
  <c r="M55"/>
  <c r="M47"/>
  <c r="M62"/>
  <c r="M53"/>
  <c r="M56"/>
  <c r="M67"/>
  <c r="L63"/>
  <c r="L54"/>
  <c r="L62"/>
  <c r="L49"/>
  <c r="L71"/>
  <c r="L50"/>
  <c r="L67"/>
  <c r="L75"/>
  <c r="L58"/>
  <c r="L68"/>
  <c r="H46"/>
  <c r="L46"/>
  <c r="M75"/>
  <c r="M54"/>
  <c r="M63"/>
  <c r="M71"/>
  <c r="J76"/>
  <c r="J53"/>
  <c r="L64"/>
  <c r="L61"/>
  <c r="L69"/>
  <c r="L52"/>
  <c r="L57"/>
  <c r="L74"/>
  <c r="L55"/>
  <c r="L72"/>
  <c r="L47"/>
  <c r="L65"/>
  <c r="L73"/>
  <c r="L56"/>
  <c r="L66"/>
  <c r="L60"/>
  <c r="J72"/>
  <c r="J68"/>
  <c r="L51"/>
  <c r="L76"/>
  <c r="L48"/>
  <c r="J73"/>
  <c r="J75"/>
  <c r="M77" l="1"/>
  <c r="L77"/>
  <c r="J46"/>
  <c r="AC32" i="12"/>
  <c r="AB32"/>
  <c r="AA32"/>
  <c r="Z32"/>
  <c r="Y32"/>
  <c r="X32"/>
  <c r="AE32" s="1"/>
  <c r="AP32" s="1"/>
  <c r="W32"/>
  <c r="AD32" s="1"/>
  <c r="AO32" s="1"/>
  <c r="AC31"/>
  <c r="AB31"/>
  <c r="AA31"/>
  <c r="Z31"/>
  <c r="Y31"/>
  <c r="X31"/>
  <c r="AE31" s="1"/>
  <c r="AP31" s="1"/>
  <c r="W31"/>
  <c r="AD31" s="1"/>
  <c r="AO31" s="1"/>
  <c r="AC30"/>
  <c r="AB30"/>
  <c r="AA30"/>
  <c r="Z30"/>
  <c r="Y30"/>
  <c r="X30"/>
  <c r="AE30" s="1"/>
  <c r="AP30" s="1"/>
  <c r="W30"/>
  <c r="AD30" s="1"/>
  <c r="AO30" s="1"/>
  <c r="AC29"/>
  <c r="AB29"/>
  <c r="AA29"/>
  <c r="Z29"/>
  <c r="Y29"/>
  <c r="X29"/>
  <c r="AE29" s="1"/>
  <c r="AP29" s="1"/>
  <c r="W29"/>
  <c r="AD29" s="1"/>
  <c r="AO29" s="1"/>
  <c r="AC28"/>
  <c r="AB28"/>
  <c r="AA28"/>
  <c r="Z28"/>
  <c r="Y28"/>
  <c r="X28"/>
  <c r="AE28" s="1"/>
  <c r="AP28" s="1"/>
  <c r="W28"/>
  <c r="AD28" s="1"/>
  <c r="AO28" s="1"/>
  <c r="AC27"/>
  <c r="AB27"/>
  <c r="AA27"/>
  <c r="Z27"/>
  <c r="Y27"/>
  <c r="X27"/>
  <c r="AE27" s="1"/>
  <c r="AP27" s="1"/>
  <c r="W27"/>
  <c r="AD27" s="1"/>
  <c r="AO27" s="1"/>
  <c r="AC26"/>
  <c r="AB26"/>
  <c r="AA26"/>
  <c r="Z26"/>
  <c r="Y26"/>
  <c r="X26"/>
  <c r="AE26" s="1"/>
  <c r="AP26" s="1"/>
  <c r="W26"/>
  <c r="AC25"/>
  <c r="AB25"/>
  <c r="AA25"/>
  <c r="Z25"/>
  <c r="Y25"/>
  <c r="X25"/>
  <c r="AE25" s="1"/>
  <c r="AP25" s="1"/>
  <c r="W25"/>
  <c r="AD25" s="1"/>
  <c r="AO25" s="1"/>
  <c r="AC24"/>
  <c r="AB24"/>
  <c r="AA24"/>
  <c r="Z24"/>
  <c r="Y24"/>
  <c r="X24"/>
  <c r="AE24" s="1"/>
  <c r="AP24" s="1"/>
  <c r="W24"/>
  <c r="AD24" s="1"/>
  <c r="AO24" s="1"/>
  <c r="AC23"/>
  <c r="AB23"/>
  <c r="AA23"/>
  <c r="Z23"/>
  <c r="Y23"/>
  <c r="X23"/>
  <c r="AE23" s="1"/>
  <c r="AP23" s="1"/>
  <c r="W23"/>
  <c r="AD23" s="1"/>
  <c r="AO23" s="1"/>
  <c r="AC22"/>
  <c r="AB22"/>
  <c r="AA22"/>
  <c r="Z22"/>
  <c r="Y22"/>
  <c r="X22"/>
  <c r="AE22" s="1"/>
  <c r="AP22" s="1"/>
  <c r="W22"/>
  <c r="AD22" s="1"/>
  <c r="AO22" s="1"/>
  <c r="AC21"/>
  <c r="AB21"/>
  <c r="AA21"/>
  <c r="Z21"/>
  <c r="Y21"/>
  <c r="X21"/>
  <c r="AE21" s="1"/>
  <c r="AP21" s="1"/>
  <c r="W21"/>
  <c r="AD21" s="1"/>
  <c r="AO21" s="1"/>
  <c r="AC20"/>
  <c r="AB20"/>
  <c r="AA20"/>
  <c r="Z20"/>
  <c r="Y20"/>
  <c r="X20"/>
  <c r="AE20" s="1"/>
  <c r="AP20" s="1"/>
  <c r="W20"/>
  <c r="AD20" s="1"/>
  <c r="AO20" s="1"/>
  <c r="AC19"/>
  <c r="AB19"/>
  <c r="AA19"/>
  <c r="Z19"/>
  <c r="Y19"/>
  <c r="X19"/>
  <c r="AE19" s="1"/>
  <c r="AP19" s="1"/>
  <c r="W19"/>
  <c r="AD19" s="1"/>
  <c r="AO19" s="1"/>
  <c r="AC18"/>
  <c r="AB18"/>
  <c r="AA18"/>
  <c r="Z18"/>
  <c r="Y18"/>
  <c r="X18"/>
  <c r="AE18" s="1"/>
  <c r="AP18" s="1"/>
  <c r="W18"/>
  <c r="AD18" s="1"/>
  <c r="AO18" s="1"/>
  <c r="AC17"/>
  <c r="AB17"/>
  <c r="AA17"/>
  <c r="Z17"/>
  <c r="Y17"/>
  <c r="X17"/>
  <c r="AE17" s="1"/>
  <c r="AP17" s="1"/>
  <c r="W17"/>
  <c r="AD17" s="1"/>
  <c r="AO17" s="1"/>
  <c r="AC16"/>
  <c r="AB16"/>
  <c r="AA16"/>
  <c r="Z16"/>
  <c r="Y16"/>
  <c r="X16"/>
  <c r="AE16" s="1"/>
  <c r="AP16" s="1"/>
  <c r="W16"/>
  <c r="AD16" s="1"/>
  <c r="AO16" s="1"/>
  <c r="AC15"/>
  <c r="AB15"/>
  <c r="AA15"/>
  <c r="Z15"/>
  <c r="Y15"/>
  <c r="X15"/>
  <c r="AE15" s="1"/>
  <c r="AP15" s="1"/>
  <c r="W15"/>
  <c r="AD15" s="1"/>
  <c r="AO15" s="1"/>
  <c r="AC14"/>
  <c r="AB14"/>
  <c r="AA14"/>
  <c r="Z14"/>
  <c r="Y14"/>
  <c r="X14"/>
  <c r="AE14" s="1"/>
  <c r="AP14" s="1"/>
  <c r="W14"/>
  <c r="AD14" s="1"/>
  <c r="AO14" s="1"/>
  <c r="AC13"/>
  <c r="AB13"/>
  <c r="AA13"/>
  <c r="Z13"/>
  <c r="Y13"/>
  <c r="X13"/>
  <c r="AE13" s="1"/>
  <c r="AP13" s="1"/>
  <c r="W13"/>
  <c r="AD13" s="1"/>
  <c r="AO13" s="1"/>
  <c r="AC12"/>
  <c r="AB12"/>
  <c r="AA12"/>
  <c r="Z12"/>
  <c r="Y12"/>
  <c r="X12"/>
  <c r="AE12" s="1"/>
  <c r="AP12" s="1"/>
  <c r="W12"/>
  <c r="AD12" s="1"/>
  <c r="AO12" s="1"/>
  <c r="AC11"/>
  <c r="AB11"/>
  <c r="AA11"/>
  <c r="Z11"/>
  <c r="Y11"/>
  <c r="X11"/>
  <c r="AE11" s="1"/>
  <c r="AP11" s="1"/>
  <c r="W11"/>
  <c r="AD11" s="1"/>
  <c r="AO11" s="1"/>
  <c r="AC10"/>
  <c r="AB10"/>
  <c r="AA10"/>
  <c r="Z10"/>
  <c r="Y10"/>
  <c r="X10"/>
  <c r="AE10" s="1"/>
  <c r="AP10" s="1"/>
  <c r="W10"/>
  <c r="AD10" s="1"/>
  <c r="AO10" s="1"/>
  <c r="I49" i="25" l="1"/>
  <c r="H49" s="1"/>
  <c r="I50"/>
  <c r="H50" s="1"/>
  <c r="I51"/>
  <c r="H51" s="1"/>
  <c r="I52"/>
  <c r="H52" s="1"/>
  <c r="I61"/>
  <c r="H61" s="1"/>
  <c r="I62"/>
  <c r="I63"/>
  <c r="H63" s="1"/>
  <c r="I64"/>
  <c r="I69"/>
  <c r="H69" s="1"/>
  <c r="I70"/>
  <c r="I71"/>
  <c r="H71" s="1"/>
  <c r="I54"/>
  <c r="H54" s="1"/>
  <c r="I55"/>
  <c r="H55" s="1"/>
  <c r="I56"/>
  <c r="H56" s="1"/>
  <c r="I57"/>
  <c r="H57" s="1"/>
  <c r="I58"/>
  <c r="H58" s="1"/>
  <c r="I59"/>
  <c r="H59" s="1"/>
  <c r="I65"/>
  <c r="H65" s="1"/>
  <c r="I66"/>
  <c r="I67"/>
  <c r="H67" s="1"/>
  <c r="AD26" i="12"/>
  <c r="AO26" s="1"/>
  <c r="C26" i="24"/>
  <c r="C26" i="25"/>
  <c r="AQ29" i="12"/>
  <c r="C18" i="24"/>
  <c r="C18" i="25"/>
  <c r="AQ21" i="12"/>
  <c r="C11" i="24"/>
  <c r="C11" i="25"/>
  <c r="AQ14" i="12"/>
  <c r="AC9"/>
  <c r="AB9"/>
  <c r="AA9"/>
  <c r="Z9"/>
  <c r="Y9"/>
  <c r="AK8"/>
  <c r="I48" i="24" s="1"/>
  <c r="AJ8" i="12"/>
  <c r="G47" i="25" s="1"/>
  <c r="G77" s="1"/>
  <c r="AC8" i="12"/>
  <c r="AB8"/>
  <c r="AA8"/>
  <c r="Z8"/>
  <c r="Y8"/>
  <c r="X8"/>
  <c r="AE8" s="1"/>
  <c r="W8"/>
  <c r="AK7"/>
  <c r="AC7"/>
  <c r="AB7"/>
  <c r="AA7"/>
  <c r="Z7"/>
  <c r="Y7"/>
  <c r="AP8" l="1"/>
  <c r="I47" i="24"/>
  <c r="L47" s="1"/>
  <c r="E47" s="1"/>
  <c r="AP7" i="12"/>
  <c r="W38"/>
  <c r="C16" i="24"/>
  <c r="C6" i="25"/>
  <c r="AJ38" i="12"/>
  <c r="J18" i="21" s="1"/>
  <c r="J23" s="1"/>
  <c r="F65" i="25"/>
  <c r="D65"/>
  <c r="D58"/>
  <c r="F58"/>
  <c r="F56"/>
  <c r="D56"/>
  <c r="D54"/>
  <c r="F54"/>
  <c r="D71"/>
  <c r="F71"/>
  <c r="H70"/>
  <c r="F70"/>
  <c r="D70"/>
  <c r="D63"/>
  <c r="F63"/>
  <c r="H62"/>
  <c r="F62"/>
  <c r="D62"/>
  <c r="F52"/>
  <c r="D52"/>
  <c r="D50"/>
  <c r="F50"/>
  <c r="AD8" i="12"/>
  <c r="AO8" s="1"/>
  <c r="Y38"/>
  <c r="AA38"/>
  <c r="AC38"/>
  <c r="AK38"/>
  <c r="D67" i="25"/>
  <c r="F67"/>
  <c r="H66"/>
  <c r="F66"/>
  <c r="D66"/>
  <c r="D59"/>
  <c r="F59"/>
  <c r="D57"/>
  <c r="F57"/>
  <c r="D55"/>
  <c r="F55"/>
  <c r="F69"/>
  <c r="D69"/>
  <c r="H64"/>
  <c r="F64"/>
  <c r="D64"/>
  <c r="F61"/>
  <c r="D61"/>
  <c r="D51"/>
  <c r="F51"/>
  <c r="F49"/>
  <c r="D49"/>
  <c r="X38" i="12"/>
  <c r="Z38"/>
  <c r="AB38"/>
  <c r="L20" i="27"/>
  <c r="K22" s="1"/>
  <c r="K20"/>
  <c r="AD38" i="12" l="1"/>
  <c r="J59" i="25"/>
  <c r="C5" i="24"/>
  <c r="J50" i="25"/>
  <c r="J55"/>
  <c r="J54"/>
  <c r="J58"/>
  <c r="K18" i="21"/>
  <c r="J49" i="25"/>
  <c r="J61"/>
  <c r="J64"/>
  <c r="J57"/>
  <c r="J70"/>
  <c r="J71"/>
  <c r="C4" i="24"/>
  <c r="I47" i="25"/>
  <c r="H47" s="1"/>
  <c r="J51"/>
  <c r="J69"/>
  <c r="J66"/>
  <c r="J67"/>
  <c r="J52"/>
  <c r="J62"/>
  <c r="J63"/>
  <c r="J56"/>
  <c r="J65"/>
  <c r="AE38" i="12"/>
  <c r="O19" i="27"/>
  <c r="M19"/>
  <c r="O18"/>
  <c r="M18"/>
  <c r="F16"/>
  <c r="O16" s="1"/>
  <c r="E16"/>
  <c r="M16" s="1"/>
  <c r="F15"/>
  <c r="O15" s="1"/>
  <c r="E15"/>
  <c r="M15" s="1"/>
  <c r="F14"/>
  <c r="O14" s="1"/>
  <c r="E14"/>
  <c r="M14" s="1"/>
  <c r="F13"/>
  <c r="O13" s="1"/>
  <c r="E13"/>
  <c r="M13" s="1"/>
  <c r="F12"/>
  <c r="O12" s="1"/>
  <c r="E12"/>
  <c r="M12" s="1"/>
  <c r="K23" i="21" l="1"/>
  <c r="L18"/>
  <c r="N46" i="25"/>
  <c r="N72"/>
  <c r="N68"/>
  <c r="N60"/>
  <c r="N48"/>
  <c r="N76"/>
  <c r="N75"/>
  <c r="N74"/>
  <c r="N53"/>
  <c r="N73"/>
  <c r="N49"/>
  <c r="N51"/>
  <c r="N52"/>
  <c r="N62"/>
  <c r="N70"/>
  <c r="N57"/>
  <c r="N67"/>
  <c r="N50"/>
  <c r="N61"/>
  <c r="N63"/>
  <c r="N64"/>
  <c r="N69"/>
  <c r="N71"/>
  <c r="N54"/>
  <c r="N55"/>
  <c r="N56"/>
  <c r="N58"/>
  <c r="N59"/>
  <c r="N65"/>
  <c r="N66"/>
  <c r="C5"/>
  <c r="AQ8" i="12"/>
  <c r="D47" i="25"/>
  <c r="F47"/>
  <c r="N47"/>
  <c r="C6" i="24"/>
  <c r="AQ9" i="12"/>
  <c r="Q12" i="27"/>
  <c r="Q13"/>
  <c r="Q14"/>
  <c r="Q15"/>
  <c r="Q16"/>
  <c r="Q19"/>
  <c r="N77" i="25" l="1"/>
  <c r="J47"/>
  <c r="F10" i="27"/>
  <c r="E10"/>
  <c r="F9"/>
  <c r="F37" s="1"/>
  <c r="O7"/>
  <c r="J20"/>
  <c r="I20"/>
  <c r="H20"/>
  <c r="G22" s="1"/>
  <c r="D20"/>
  <c r="D36" s="1"/>
  <c r="F8" i="20"/>
  <c r="D18"/>
  <c r="F17"/>
  <c r="F16"/>
  <c r="F15"/>
  <c r="F14"/>
  <c r="F22"/>
  <c r="F21"/>
  <c r="F20"/>
  <c r="F19"/>
  <c r="C22" i="27" l="1"/>
  <c r="G18" i="20"/>
  <c r="F27"/>
  <c r="G13"/>
  <c r="S13" s="1"/>
  <c r="V13" s="1"/>
  <c r="F24"/>
  <c r="D23"/>
  <c r="E8" s="1"/>
  <c r="F26"/>
  <c r="G8"/>
  <c r="S8" s="1"/>
  <c r="V8" s="1"/>
  <c r="F23"/>
  <c r="F25"/>
  <c r="F20" i="27"/>
  <c r="O6"/>
  <c r="Q7"/>
  <c r="O9"/>
  <c r="I22"/>
  <c r="E38"/>
  <c r="E20"/>
  <c r="C37" s="1"/>
  <c r="C38" s="1"/>
  <c r="Q10" l="1"/>
  <c r="M20"/>
  <c r="I8" i="20"/>
  <c r="D37" i="27"/>
  <c r="D38" s="1"/>
  <c r="C41" s="1"/>
  <c r="E22"/>
  <c r="E18" i="20"/>
  <c r="E13"/>
  <c r="G23"/>
  <c r="O20" i="27"/>
  <c r="Q6"/>
  <c r="I18" i="20"/>
  <c r="Q9" i="27"/>
  <c r="P14"/>
  <c r="P16"/>
  <c r="P18"/>
  <c r="P13"/>
  <c r="P15"/>
  <c r="P19"/>
  <c r="P6"/>
  <c r="P12"/>
  <c r="P7"/>
  <c r="P9"/>
  <c r="P10"/>
  <c r="I13" i="20"/>
  <c r="E25" i="27" l="1"/>
  <c r="E23" i="20"/>
  <c r="D27" i="27"/>
  <c r="F27" s="1"/>
  <c r="E27"/>
  <c r="D29"/>
  <c r="F29" s="1"/>
  <c r="D25"/>
  <c r="F25" s="1"/>
  <c r="G25" s="1"/>
  <c r="E26"/>
  <c r="D26"/>
  <c r="F26" s="1"/>
  <c r="E29"/>
  <c r="G29" s="1"/>
  <c r="D28"/>
  <c r="F28" s="1"/>
  <c r="E28"/>
  <c r="I23" i="20"/>
  <c r="H8"/>
  <c r="H13"/>
  <c r="H18"/>
  <c r="K18"/>
  <c r="J18"/>
  <c r="F9" i="21"/>
  <c r="F10"/>
  <c r="F11"/>
  <c r="F12"/>
  <c r="F13"/>
  <c r="F14"/>
  <c r="F15"/>
  <c r="F16"/>
  <c r="F17"/>
  <c r="D13"/>
  <c r="Q13" s="1"/>
  <c r="F18"/>
  <c r="F19"/>
  <c r="F20"/>
  <c r="F21"/>
  <c r="F22"/>
  <c r="D18"/>
  <c r="Q18" s="1"/>
  <c r="I48" i="25"/>
  <c r="I77" s="1"/>
  <c r="I60"/>
  <c r="H60" s="1"/>
  <c r="L71" i="24"/>
  <c r="E71" s="1"/>
  <c r="D71" s="1"/>
  <c r="L64"/>
  <c r="E64" s="1"/>
  <c r="D64" s="1"/>
  <c r="L66"/>
  <c r="E66" s="1"/>
  <c r="D66" s="1"/>
  <c r="L69"/>
  <c r="E69" s="1"/>
  <c r="D69" s="1"/>
  <c r="L58"/>
  <c r="K58" s="1"/>
  <c r="J58" s="1"/>
  <c r="L67"/>
  <c r="E67" s="1"/>
  <c r="D67" s="1"/>
  <c r="L56"/>
  <c r="E56" s="1"/>
  <c r="D56" s="1"/>
  <c r="D60" i="25"/>
  <c r="L48" i="24"/>
  <c r="H48" s="1"/>
  <c r="G48" s="1"/>
  <c r="L50"/>
  <c r="H50" s="1"/>
  <c r="G50" s="1"/>
  <c r="L51"/>
  <c r="K51" s="1"/>
  <c r="J51" s="1"/>
  <c r="L52"/>
  <c r="H52" s="1"/>
  <c r="G52" s="1"/>
  <c r="L53"/>
  <c r="H53" s="1"/>
  <c r="G53" s="1"/>
  <c r="L54"/>
  <c r="H54" s="1"/>
  <c r="G54" s="1"/>
  <c r="L55"/>
  <c r="H55" s="1"/>
  <c r="G55" s="1"/>
  <c r="L57"/>
  <c r="H57" s="1"/>
  <c r="G57" s="1"/>
  <c r="L59"/>
  <c r="E59" s="1"/>
  <c r="D59" s="1"/>
  <c r="L60"/>
  <c r="E60" s="1"/>
  <c r="D60" s="1"/>
  <c r="L61"/>
  <c r="K61" s="1"/>
  <c r="J61" s="1"/>
  <c r="L62"/>
  <c r="K62" s="1"/>
  <c r="J62" s="1"/>
  <c r="L63"/>
  <c r="H63" s="1"/>
  <c r="G63" s="1"/>
  <c r="L65"/>
  <c r="K65" s="1"/>
  <c r="J65" s="1"/>
  <c r="L68"/>
  <c r="E68" s="1"/>
  <c r="D68" s="1"/>
  <c r="L70"/>
  <c r="E70" s="1"/>
  <c r="D70" s="1"/>
  <c r="L72"/>
  <c r="K72" s="1"/>
  <c r="J72" s="1"/>
  <c r="L73"/>
  <c r="E73" s="1"/>
  <c r="D73" s="1"/>
  <c r="L74"/>
  <c r="K74" s="1"/>
  <c r="J74" s="1"/>
  <c r="L75"/>
  <c r="H75" s="1"/>
  <c r="G75" s="1"/>
  <c r="L76"/>
  <c r="K76" s="1"/>
  <c r="J76" s="1"/>
  <c r="L77"/>
  <c r="H77" s="1"/>
  <c r="G77" s="1"/>
  <c r="E48"/>
  <c r="D48" s="1"/>
  <c r="I78"/>
  <c r="F78"/>
  <c r="E29" i="30"/>
  <c r="G28" i="27" l="1"/>
  <c r="G26"/>
  <c r="G27"/>
  <c r="R13" i="21"/>
  <c r="K50" i="24"/>
  <c r="J50" s="1"/>
  <c r="Q23" i="21"/>
  <c r="K23" i="20"/>
  <c r="L18"/>
  <c r="S18"/>
  <c r="J23"/>
  <c r="Q18"/>
  <c r="G8" i="21"/>
  <c r="S8" s="1"/>
  <c r="F26"/>
  <c r="K54" i="24"/>
  <c r="J54" s="1"/>
  <c r="H77" i="25"/>
  <c r="F60"/>
  <c r="J60" s="1"/>
  <c r="K55" i="24"/>
  <c r="J55" s="1"/>
  <c r="E30" i="27"/>
  <c r="G30" s="1"/>
  <c r="E52" i="24"/>
  <c r="D52" s="1"/>
  <c r="K53"/>
  <c r="J53" s="1"/>
  <c r="E63"/>
  <c r="D63" s="1"/>
  <c r="H59"/>
  <c r="G59" s="1"/>
  <c r="K68"/>
  <c r="J68" s="1"/>
  <c r="K63"/>
  <c r="J63" s="1"/>
  <c r="E51"/>
  <c r="D51" s="1"/>
  <c r="E53"/>
  <c r="H72"/>
  <c r="G72" s="1"/>
  <c r="K59"/>
  <c r="J59" s="1"/>
  <c r="E72"/>
  <c r="D72" s="1"/>
  <c r="G18" i="21"/>
  <c r="S18" s="1"/>
  <c r="V18" s="1"/>
  <c r="H76" i="24"/>
  <c r="G76" s="1"/>
  <c r="G13" i="21"/>
  <c r="S13" s="1"/>
  <c r="V13" s="1"/>
  <c r="D48" i="25"/>
  <c r="K57" i="24"/>
  <c r="J57" s="1"/>
  <c r="E75"/>
  <c r="D75" s="1"/>
  <c r="F48" i="25"/>
  <c r="H70" i="24"/>
  <c r="G70" s="1"/>
  <c r="H62"/>
  <c r="G62" s="1"/>
  <c r="H48" i="25"/>
  <c r="E54" i="24"/>
  <c r="K52"/>
  <c r="J52" s="1"/>
  <c r="E50"/>
  <c r="K48"/>
  <c r="H65"/>
  <c r="G65" s="1"/>
  <c r="H73"/>
  <c r="G73" s="1"/>
  <c r="F25" i="21"/>
  <c r="H60" i="24"/>
  <c r="G60" s="1"/>
  <c r="H64"/>
  <c r="G64" s="1"/>
  <c r="F23" i="21"/>
  <c r="E74" i="24"/>
  <c r="D74" s="1"/>
  <c r="E76"/>
  <c r="D76" s="1"/>
  <c r="E61"/>
  <c r="D61" s="1"/>
  <c r="H51"/>
  <c r="G51" s="1"/>
  <c r="H56"/>
  <c r="G56" s="1"/>
  <c r="H69"/>
  <c r="G69" s="1"/>
  <c r="K64"/>
  <c r="H71"/>
  <c r="G71" s="1"/>
  <c r="H61"/>
  <c r="G61" s="1"/>
  <c r="E55"/>
  <c r="F24" i="21"/>
  <c r="H74" i="24"/>
  <c r="G74" s="1"/>
  <c r="H66"/>
  <c r="G66" s="1"/>
  <c r="E65"/>
  <c r="D65" s="1"/>
  <c r="E77"/>
  <c r="D77" s="1"/>
  <c r="K73"/>
  <c r="J73" s="1"/>
  <c r="K70"/>
  <c r="J70" s="1"/>
  <c r="E62"/>
  <c r="D62" s="1"/>
  <c r="K60"/>
  <c r="J60" s="1"/>
  <c r="E57"/>
  <c r="D57" s="1"/>
  <c r="K75"/>
  <c r="J75" s="1"/>
  <c r="K77"/>
  <c r="J77" s="1"/>
  <c r="H68"/>
  <c r="G68" s="1"/>
  <c r="M68" s="1"/>
  <c r="K56"/>
  <c r="J56" s="1"/>
  <c r="H67"/>
  <c r="G67" s="1"/>
  <c r="E58"/>
  <c r="D58" s="1"/>
  <c r="H58"/>
  <c r="G58" s="1"/>
  <c r="K69"/>
  <c r="J69" s="1"/>
  <c r="H23" i="20"/>
  <c r="K67" i="24"/>
  <c r="J67" s="1"/>
  <c r="K66"/>
  <c r="J66" s="1"/>
  <c r="K71"/>
  <c r="J71" s="1"/>
  <c r="I18" i="21"/>
  <c r="F27"/>
  <c r="D23"/>
  <c r="F77" i="25"/>
  <c r="D77"/>
  <c r="L23" i="21"/>
  <c r="E36" i="30"/>
  <c r="E8"/>
  <c r="E50"/>
  <c r="E15"/>
  <c r="E22"/>
  <c r="Q23" i="20" l="1"/>
  <c r="C36" s="1"/>
  <c r="V18"/>
  <c r="M70" i="24"/>
  <c r="M71"/>
  <c r="M73"/>
  <c r="M67"/>
  <c r="N63"/>
  <c r="M69"/>
  <c r="M57"/>
  <c r="M74"/>
  <c r="M59"/>
  <c r="M66"/>
  <c r="M76"/>
  <c r="M75"/>
  <c r="M52"/>
  <c r="M58"/>
  <c r="M62"/>
  <c r="M65"/>
  <c r="M61"/>
  <c r="M56"/>
  <c r="M60"/>
  <c r="M77"/>
  <c r="M72"/>
  <c r="M51"/>
  <c r="M63"/>
  <c r="E57" i="30"/>
  <c r="S23" i="20"/>
  <c r="G23" i="21"/>
  <c r="I23" s="1"/>
  <c r="E8"/>
  <c r="I13"/>
  <c r="N50" i="24"/>
  <c r="D50"/>
  <c r="N53"/>
  <c r="D53"/>
  <c r="N55"/>
  <c r="D55"/>
  <c r="N48"/>
  <c r="J48"/>
  <c r="N64"/>
  <c r="J64"/>
  <c r="M64" s="1"/>
  <c r="N54"/>
  <c r="D54"/>
  <c r="N52"/>
  <c r="N68"/>
  <c r="N76"/>
  <c r="N62"/>
  <c r="N57"/>
  <c r="N51"/>
  <c r="N59"/>
  <c r="N72"/>
  <c r="N75"/>
  <c r="J48" i="25"/>
  <c r="N66" i="24"/>
  <c r="N70"/>
  <c r="N71"/>
  <c r="N69"/>
  <c r="N65"/>
  <c r="J77" i="25"/>
  <c r="N74" i="24"/>
  <c r="N56"/>
  <c r="N60"/>
  <c r="N73"/>
  <c r="N67"/>
  <c r="N77"/>
  <c r="N61"/>
  <c r="N58"/>
  <c r="I8" i="21"/>
  <c r="E18"/>
  <c r="E13"/>
  <c r="L23" i="20"/>
  <c r="F38" i="27"/>
  <c r="H36"/>
  <c r="I36" s="1"/>
  <c r="V23" i="20" l="1"/>
  <c r="R18"/>
  <c r="R13"/>
  <c r="R8"/>
  <c r="T13"/>
  <c r="P13" s="1"/>
  <c r="U13" s="1"/>
  <c r="C88" s="1"/>
  <c r="C55"/>
  <c r="C35"/>
  <c r="M54" i="24"/>
  <c r="V23" i="21"/>
  <c r="M53" i="24"/>
  <c r="M48"/>
  <c r="M55"/>
  <c r="M50"/>
  <c r="R23" i="20"/>
  <c r="T18"/>
  <c r="P18" s="1"/>
  <c r="U18" s="1"/>
  <c r="C87" s="1"/>
  <c r="H13" i="21"/>
  <c r="H8"/>
  <c r="H18"/>
  <c r="E23"/>
  <c r="R8"/>
  <c r="R18"/>
  <c r="AP197" i="13"/>
  <c r="AP196"/>
  <c r="H23" i="21" l="1"/>
  <c r="R23"/>
  <c r="T18"/>
  <c r="P13" l="1"/>
  <c r="U13" s="1"/>
  <c r="C85" s="1"/>
  <c r="P18"/>
  <c r="U18" s="1"/>
  <c r="C84" s="1"/>
  <c r="G37" i="27"/>
  <c r="G38" s="1"/>
  <c r="N7"/>
  <c r="B26" s="1"/>
  <c r="N9"/>
  <c r="N10"/>
  <c r="M22"/>
  <c r="N12"/>
  <c r="N13"/>
  <c r="N14"/>
  <c r="N15"/>
  <c r="H37"/>
  <c r="N19"/>
  <c r="N16"/>
  <c r="N18"/>
  <c r="H38"/>
  <c r="G41" l="1"/>
  <c r="I38"/>
  <c r="B28"/>
  <c r="B27"/>
  <c r="C25"/>
  <c r="B25"/>
  <c r="C27"/>
  <c r="B29"/>
  <c r="O37"/>
  <c r="W5"/>
  <c r="C29"/>
  <c r="C28"/>
  <c r="C26"/>
  <c r="Q20"/>
  <c r="C30" l="1"/>
  <c r="C8" i="24" l="1"/>
  <c r="C9"/>
  <c r="C10"/>
  <c r="C12"/>
  <c r="C13"/>
  <c r="C14"/>
  <c r="C15"/>
  <c r="C17"/>
  <c r="C19"/>
  <c r="C20"/>
  <c r="C21"/>
  <c r="C22"/>
  <c r="C23"/>
  <c r="C24"/>
  <c r="C25"/>
  <c r="C28"/>
  <c r="C29"/>
  <c r="C14" i="25"/>
  <c r="C15"/>
  <c r="C23"/>
  <c r="C7"/>
  <c r="C8"/>
  <c r="C13"/>
  <c r="C21"/>
  <c r="C27"/>
  <c r="C28"/>
  <c r="AQ19" i="12"/>
  <c r="AQ23"/>
  <c r="AQ24" l="1"/>
  <c r="C16" i="25"/>
  <c r="AQ32" i="12"/>
  <c r="C19" i="25"/>
  <c r="C9"/>
  <c r="AQ18" i="12"/>
  <c r="C24" i="25"/>
  <c r="AQ12" i="12"/>
  <c r="AQ20"/>
  <c r="C22" i="25"/>
  <c r="C17"/>
  <c r="C10"/>
  <c r="AQ31" i="12"/>
  <c r="AQ27"/>
  <c r="AQ13"/>
  <c r="C25" i="25"/>
  <c r="C20"/>
  <c r="AQ28" i="12"/>
  <c r="AQ16"/>
  <c r="AQ11"/>
  <c r="C29" i="25"/>
  <c r="AP38" i="12"/>
  <c r="AQ30"/>
  <c r="AO38"/>
  <c r="AQ15"/>
  <c r="C12" i="25"/>
  <c r="C27" i="24"/>
  <c r="C7"/>
  <c r="AQ26" i="12"/>
  <c r="AQ17"/>
  <c r="AQ22"/>
  <c r="AQ10"/>
  <c r="AQ25"/>
  <c r="C35" i="24" l="1"/>
  <c r="J6" s="1"/>
  <c r="E20" i="25"/>
  <c r="E17"/>
  <c r="E21" i="24"/>
  <c r="E7" i="25"/>
  <c r="E9" i="24"/>
  <c r="E25" i="25"/>
  <c r="E24" i="24"/>
  <c r="E8" i="25"/>
  <c r="E4" i="24"/>
  <c r="E26"/>
  <c r="E29"/>
  <c r="E10"/>
  <c r="E18"/>
  <c r="E16"/>
  <c r="E34"/>
  <c r="E13"/>
  <c r="E27"/>
  <c r="E15"/>
  <c r="E11"/>
  <c r="E14" i="25"/>
  <c r="E19" i="24"/>
  <c r="E20"/>
  <c r="E6"/>
  <c r="E17"/>
  <c r="E22"/>
  <c r="E7"/>
  <c r="E5"/>
  <c r="E21" i="25"/>
  <c r="E16"/>
  <c r="E15"/>
  <c r="E32" i="24"/>
  <c r="E12"/>
  <c r="E33"/>
  <c r="E30"/>
  <c r="E14"/>
  <c r="E31"/>
  <c r="E13" i="25"/>
  <c r="E33"/>
  <c r="E24"/>
  <c r="E25" i="24"/>
  <c r="AQ38" i="12"/>
  <c r="E8" i="24"/>
  <c r="E23"/>
  <c r="E28"/>
  <c r="E23" i="25"/>
  <c r="C35"/>
  <c r="E32"/>
  <c r="E19"/>
  <c r="E9"/>
  <c r="E26"/>
  <c r="E30"/>
  <c r="E12"/>
  <c r="E5"/>
  <c r="E18"/>
  <c r="E29"/>
  <c r="E22"/>
  <c r="E28"/>
  <c r="E10"/>
  <c r="E34"/>
  <c r="E11"/>
  <c r="E31"/>
  <c r="E6"/>
  <c r="E27"/>
  <c r="E4"/>
  <c r="C40" s="1"/>
  <c r="D33" i="24" l="1"/>
  <c r="D4"/>
  <c r="D20"/>
  <c r="D8"/>
  <c r="D9"/>
  <c r="D23"/>
  <c r="D25"/>
  <c r="D19"/>
  <c r="D27"/>
  <c r="D22"/>
  <c r="D15"/>
  <c r="D32"/>
  <c r="D17"/>
  <c r="D8" i="25"/>
  <c r="K6"/>
  <c r="D16" i="24"/>
  <c r="D10"/>
  <c r="D24"/>
  <c r="D13"/>
  <c r="D26"/>
  <c r="D5"/>
  <c r="D7"/>
  <c r="D29"/>
  <c r="D30"/>
  <c r="D21"/>
  <c r="D14"/>
  <c r="D12"/>
  <c r="D31"/>
  <c r="D18"/>
  <c r="D6"/>
  <c r="C41"/>
  <c r="D34"/>
  <c r="C37"/>
  <c r="D11"/>
  <c r="D28"/>
  <c r="D6" i="25"/>
  <c r="D19"/>
  <c r="D26"/>
  <c r="B38" i="24"/>
  <c r="B37"/>
  <c r="B41"/>
  <c r="D20" i="25"/>
  <c r="D13"/>
  <c r="D17"/>
  <c r="D32"/>
  <c r="C40" i="24"/>
  <c r="B39"/>
  <c r="D15" i="25"/>
  <c r="D12"/>
  <c r="D30"/>
  <c r="D27"/>
  <c r="C38" i="24"/>
  <c r="D14" i="25"/>
  <c r="D33"/>
  <c r="D34"/>
  <c r="D18"/>
  <c r="D31"/>
  <c r="D7"/>
  <c r="D16"/>
  <c r="D23"/>
  <c r="D25"/>
  <c r="D29"/>
  <c r="D21"/>
  <c r="C39" i="24"/>
  <c r="D9" i="25"/>
  <c r="D22"/>
  <c r="D11"/>
  <c r="D28"/>
  <c r="B40" i="24"/>
  <c r="D24" i="25"/>
  <c r="D4"/>
  <c r="D10"/>
  <c r="D5"/>
  <c r="C37"/>
  <c r="B39"/>
  <c r="B40"/>
  <c r="C41"/>
  <c r="B41"/>
  <c r="C39"/>
  <c r="B37"/>
  <c r="C38"/>
  <c r="B38"/>
  <c r="D35" i="24" l="1"/>
  <c r="C42"/>
  <c r="D35" i="25"/>
  <c r="C42"/>
  <c r="L49" i="24" l="1"/>
  <c r="C78"/>
  <c r="K49" l="1"/>
  <c r="J49" s="1"/>
  <c r="E49"/>
  <c r="D49" s="1"/>
  <c r="H49"/>
  <c r="G49" s="1"/>
  <c r="M49" l="1"/>
  <c r="N49"/>
  <c r="K47"/>
  <c r="J47" s="1"/>
  <c r="L78"/>
  <c r="H47"/>
  <c r="J78" l="1"/>
  <c r="G47"/>
  <c r="N47"/>
  <c r="H78"/>
  <c r="D47"/>
  <c r="K78"/>
  <c r="E78"/>
  <c r="R61" l="1"/>
  <c r="R62"/>
  <c r="R74"/>
  <c r="R72"/>
  <c r="R58"/>
  <c r="R65"/>
  <c r="R51"/>
  <c r="R76"/>
  <c r="R50"/>
  <c r="R73"/>
  <c r="R77"/>
  <c r="R60"/>
  <c r="R53"/>
  <c r="R56"/>
  <c r="R54"/>
  <c r="R68"/>
  <c r="R67"/>
  <c r="R55"/>
  <c r="R69"/>
  <c r="R70"/>
  <c r="R63"/>
  <c r="R71"/>
  <c r="R57"/>
  <c r="R75"/>
  <c r="R59"/>
  <c r="R66"/>
  <c r="R52"/>
  <c r="R64"/>
  <c r="R48"/>
  <c r="R49"/>
  <c r="G78"/>
  <c r="Q47" s="1"/>
  <c r="R47"/>
  <c r="D78"/>
  <c r="P47" s="1"/>
  <c r="M47"/>
  <c r="M78" s="1"/>
  <c r="N78"/>
  <c r="T8" i="21"/>
  <c r="R78" i="24" l="1"/>
  <c r="T23" i="21"/>
  <c r="P8"/>
  <c r="U8" s="1"/>
  <c r="P56" i="24"/>
  <c r="P73"/>
  <c r="P69"/>
  <c r="P51"/>
  <c r="P50"/>
  <c r="P64"/>
  <c r="P71"/>
  <c r="P66"/>
  <c r="P77"/>
  <c r="P52"/>
  <c r="P63"/>
  <c r="P54"/>
  <c r="P76"/>
  <c r="P65"/>
  <c r="P60"/>
  <c r="P70"/>
  <c r="P68"/>
  <c r="P74"/>
  <c r="P72"/>
  <c r="P55"/>
  <c r="P48"/>
  <c r="P67"/>
  <c r="P59"/>
  <c r="P61"/>
  <c r="P57"/>
  <c r="P58"/>
  <c r="P53"/>
  <c r="P62"/>
  <c r="P75"/>
  <c r="P49"/>
  <c r="Q50"/>
  <c r="Q63"/>
  <c r="Q54"/>
  <c r="Q75"/>
  <c r="Q52"/>
  <c r="Q48"/>
  <c r="Q77"/>
  <c r="Q55"/>
  <c r="Q57"/>
  <c r="Q53"/>
  <c r="Q62"/>
  <c r="Q67"/>
  <c r="Q60"/>
  <c r="Q65"/>
  <c r="Q73"/>
  <c r="Q69"/>
  <c r="Q68"/>
  <c r="Q51"/>
  <c r="Q56"/>
  <c r="Q64"/>
  <c r="Q61"/>
  <c r="Q59"/>
  <c r="Q72"/>
  <c r="Q58"/>
  <c r="Q71"/>
  <c r="Q70"/>
  <c r="Q66"/>
  <c r="Q76"/>
  <c r="Q74"/>
  <c r="Q49"/>
  <c r="P78" l="1"/>
  <c r="Q78"/>
  <c r="P23" i="21"/>
  <c r="U23"/>
  <c r="C86"/>
  <c r="C83" l="1"/>
  <c r="T8" i="20"/>
  <c r="T23" s="1"/>
  <c r="P8" l="1"/>
  <c r="P23" l="1"/>
  <c r="U8"/>
  <c r="C89" l="1"/>
  <c r="U23"/>
  <c r="C86" l="1"/>
</calcChain>
</file>

<file path=xl/comments1.xml><?xml version="1.0" encoding="utf-8"?>
<comments xmlns="http://schemas.openxmlformats.org/spreadsheetml/2006/main">
  <authors>
    <author>Antonio Araujo</author>
  </authors>
  <commentList>
    <comment ref="I5" authorId="0">
      <text>
        <r>
          <rPr>
            <b/>
            <sz val="9"/>
            <color indexed="81"/>
            <rFont val="Tahoma"/>
            <charset val="1"/>
          </rPr>
          <t xml:space="preserve">Voir remarque importante ci-dessous.
</t>
        </r>
        <r>
          <rPr>
            <b/>
            <u/>
            <sz val="9"/>
            <color indexed="81"/>
            <rFont val="Tahoma"/>
            <family val="2"/>
          </rPr>
          <t xml:space="preserve">Pays concernés </t>
        </r>
        <r>
          <rPr>
            <b/>
            <sz val="9"/>
            <color indexed="81"/>
            <rFont val="Tahoma"/>
            <charset val="1"/>
          </rPr>
          <t>:  Belgique et Suisse</t>
        </r>
        <r>
          <rPr>
            <sz val="9"/>
            <color indexed="81"/>
            <rFont val="Tahoma"/>
            <charset val="1"/>
          </rPr>
          <t xml:space="preserve">
</t>
        </r>
      </text>
    </comment>
    <comment ref="N6" authorId="0">
      <text>
        <r>
          <rPr>
            <b/>
            <sz val="9"/>
            <color indexed="81"/>
            <rFont val="Tahoma"/>
            <family val="2"/>
          </rPr>
          <t xml:space="preserve">Voir remarque importante ci-dessous.
</t>
        </r>
        <r>
          <rPr>
            <b/>
            <u/>
            <sz val="9"/>
            <color indexed="81"/>
            <rFont val="Tahoma"/>
            <family val="2"/>
          </rPr>
          <t>Pays concernés</t>
        </r>
        <r>
          <rPr>
            <b/>
            <sz val="9"/>
            <color indexed="81"/>
            <rFont val="Tahoma"/>
            <family val="2"/>
          </rPr>
          <t xml:space="preserve"> :  Belgique et Suisse</t>
        </r>
        <r>
          <rPr>
            <sz val="9"/>
            <color indexed="81"/>
            <rFont val="Tahoma"/>
            <family val="2"/>
          </rPr>
          <t xml:space="preserve">
</t>
        </r>
      </text>
    </comment>
  </commentList>
</comments>
</file>

<file path=xl/comments2.xml><?xml version="1.0" encoding="utf-8"?>
<comments xmlns="http://schemas.openxmlformats.org/spreadsheetml/2006/main">
  <authors>
    <author>Antonio Araujo</author>
  </authors>
  <commentList>
    <comment ref="B10" authorId="0">
      <text>
        <r>
          <rPr>
            <b/>
            <sz val="9"/>
            <color indexed="81"/>
            <rFont val="Tahoma"/>
            <charset val="1"/>
          </rPr>
          <t xml:space="preserve">Voir remarque importante ci-dessous.
</t>
        </r>
        <r>
          <rPr>
            <b/>
            <u/>
            <sz val="9"/>
            <color indexed="81"/>
            <rFont val="Tahoma"/>
            <family val="2"/>
          </rPr>
          <t>Pays concernés</t>
        </r>
        <r>
          <rPr>
            <b/>
            <sz val="9"/>
            <color indexed="81"/>
            <rFont val="Tahoma"/>
            <charset val="1"/>
          </rPr>
          <t xml:space="preserve"> : Belgique et Suisse</t>
        </r>
      </text>
    </comment>
  </commentList>
</comments>
</file>

<file path=xl/sharedStrings.xml><?xml version="1.0" encoding="utf-8"?>
<sst xmlns="http://schemas.openxmlformats.org/spreadsheetml/2006/main" count="2043" uniqueCount="376">
  <si>
    <t>SOINS PROGRAMMES</t>
  </si>
  <si>
    <t>Allemagne</t>
  </si>
  <si>
    <t>Montant remboursé</t>
  </si>
  <si>
    <t>Autriche</t>
  </si>
  <si>
    <t>Belgique</t>
  </si>
  <si>
    <t>Bulgarie</t>
  </si>
  <si>
    <t>Chypre</t>
  </si>
  <si>
    <t>Espagne</t>
  </si>
  <si>
    <t>Estonie</t>
  </si>
  <si>
    <t>Finlande</t>
  </si>
  <si>
    <t>Grèce</t>
  </si>
  <si>
    <t>Hongrie</t>
  </si>
  <si>
    <t>Islande</t>
  </si>
  <si>
    <t>Italie</t>
  </si>
  <si>
    <t>Liechtenstein</t>
  </si>
  <si>
    <t>Lituanie</t>
  </si>
  <si>
    <t>Luxembourg</t>
  </si>
  <si>
    <t>Malte</t>
  </si>
  <si>
    <t>Norvège</t>
  </si>
  <si>
    <t>Pays-Bas</t>
  </si>
  <si>
    <t>Pologne</t>
  </si>
  <si>
    <t>Portugal</t>
  </si>
  <si>
    <t>Rép. Tchèque</t>
  </si>
  <si>
    <t>Roumanie</t>
  </si>
  <si>
    <t>Royaume-Uni</t>
  </si>
  <si>
    <t>Slovaquie</t>
  </si>
  <si>
    <t>Slovénie</t>
  </si>
  <si>
    <t>Suède</t>
  </si>
  <si>
    <t>Suisse</t>
  </si>
  <si>
    <t>FORFAITS</t>
  </si>
  <si>
    <t>Algérie</t>
  </si>
  <si>
    <t>Andorre</t>
  </si>
  <si>
    <t>Croatie</t>
  </si>
  <si>
    <t>Mali</t>
  </si>
  <si>
    <t>Maroc</t>
  </si>
  <si>
    <t>Polynésie Française</t>
  </si>
  <si>
    <t>Québec</t>
  </si>
  <si>
    <t>Serbie</t>
  </si>
  <si>
    <t>Tunisie</t>
  </si>
  <si>
    <t>Autres prestations</t>
  </si>
  <si>
    <t>Hospitalisation</t>
  </si>
  <si>
    <t>Médicaments</t>
  </si>
  <si>
    <t>Soins dentaires</t>
  </si>
  <si>
    <t>Soins médicaux</t>
  </si>
  <si>
    <t>Danemark</t>
  </si>
  <si>
    <t>Irlande</t>
  </si>
  <si>
    <t>Lettonie</t>
  </si>
  <si>
    <t>TOTAL</t>
  </si>
  <si>
    <t>Afghanistan</t>
  </si>
  <si>
    <t>Afrique du Sud</t>
  </si>
  <si>
    <t>Albanie</t>
  </si>
  <si>
    <t>Angola</t>
  </si>
  <si>
    <t>Arabie Saoudite</t>
  </si>
  <si>
    <t>Argentine</t>
  </si>
  <si>
    <t>Arménie</t>
  </si>
  <si>
    <t>Australie</t>
  </si>
  <si>
    <t>Azerbaïdjan</t>
  </si>
  <si>
    <t>Bahrein</t>
  </si>
  <si>
    <t>Bangladesh</t>
  </si>
  <si>
    <t>Birmanie</t>
  </si>
  <si>
    <t>Bolivie</t>
  </si>
  <si>
    <t>Burundi</t>
  </si>
  <si>
    <t>Cambodge</t>
  </si>
  <si>
    <t>Cameroun</t>
  </si>
  <si>
    <t>Canada</t>
  </si>
  <si>
    <t>Cap-Vert</t>
  </si>
  <si>
    <t>Chili</t>
  </si>
  <si>
    <t>Chine</t>
  </si>
  <si>
    <t>Colombie</t>
  </si>
  <si>
    <t>Comores</t>
  </si>
  <si>
    <t>Congo</t>
  </si>
  <si>
    <t>Costa Rica</t>
  </si>
  <si>
    <t>Côte d'Ivoire</t>
  </si>
  <si>
    <t>Cuba</t>
  </si>
  <si>
    <t>Djibouti</t>
  </si>
  <si>
    <t>Egypte</t>
  </si>
  <si>
    <t>El Salvador</t>
  </si>
  <si>
    <t>Emirats Arabes Unis</t>
  </si>
  <si>
    <t>Equateur</t>
  </si>
  <si>
    <t>Etats-Unis</t>
  </si>
  <si>
    <t>Ethiopie</t>
  </si>
  <si>
    <t>Gabon</t>
  </si>
  <si>
    <t>Gambie</t>
  </si>
  <si>
    <t>Ghana</t>
  </si>
  <si>
    <t>Groenland</t>
  </si>
  <si>
    <t>Guatemala</t>
  </si>
  <si>
    <t>Guernesey</t>
  </si>
  <si>
    <t>Guinée</t>
  </si>
  <si>
    <t>Guinée-Bissau</t>
  </si>
  <si>
    <t>Honduras</t>
  </si>
  <si>
    <t>Inde</t>
  </si>
  <si>
    <t>Indonésie</t>
  </si>
  <si>
    <t>Iran</t>
  </si>
  <si>
    <t>Irak</t>
  </si>
  <si>
    <t>Israël</t>
  </si>
  <si>
    <t>Jamaïque</t>
  </si>
  <si>
    <t>Japon</t>
  </si>
  <si>
    <t>Jersey</t>
  </si>
  <si>
    <t>Jordanie</t>
  </si>
  <si>
    <t>Kazakhstan</t>
  </si>
  <si>
    <t>Kenya</t>
  </si>
  <si>
    <t>Kirghizistan</t>
  </si>
  <si>
    <t>Koweit</t>
  </si>
  <si>
    <t>Laos</t>
  </si>
  <si>
    <t>Liban</t>
  </si>
  <si>
    <t>Libye</t>
  </si>
  <si>
    <t>Macédoine</t>
  </si>
  <si>
    <t>Madagascar</t>
  </si>
  <si>
    <t>Malaisie</t>
  </si>
  <si>
    <t>Maldives</t>
  </si>
  <si>
    <t>Mauritanie</t>
  </si>
  <si>
    <t>Mexique</t>
  </si>
  <si>
    <t>Moldavie</t>
  </si>
  <si>
    <t>Monaco</t>
  </si>
  <si>
    <t>Mongolie</t>
  </si>
  <si>
    <t>Monténégro</t>
  </si>
  <si>
    <t>Mozambique</t>
  </si>
  <si>
    <t>Namibie</t>
  </si>
  <si>
    <t>Népal</t>
  </si>
  <si>
    <t>Nicaragua</t>
  </si>
  <si>
    <t>Niger</t>
  </si>
  <si>
    <t>Nouvelle-Zélande</t>
  </si>
  <si>
    <t>Oman</t>
  </si>
  <si>
    <t>Ouganda</t>
  </si>
  <si>
    <t>Pakistan</t>
  </si>
  <si>
    <t>Panama</t>
  </si>
  <si>
    <t>Paraguay</t>
  </si>
  <si>
    <t>Philippines</t>
  </si>
  <si>
    <t>Qatar</t>
  </si>
  <si>
    <t>Russie</t>
  </si>
  <si>
    <t>Rwanda</t>
  </si>
  <si>
    <t>Saint-Marin</t>
  </si>
  <si>
    <t>Saint-Pierre et Miquelon</t>
  </si>
  <si>
    <t>Sénégal</t>
  </si>
  <si>
    <t>Seychelles</t>
  </si>
  <si>
    <t>Singapour</t>
  </si>
  <si>
    <t>Soudan</t>
  </si>
  <si>
    <t>Sri Lanka</t>
  </si>
  <si>
    <t>Surinam</t>
  </si>
  <si>
    <t>Syrie</t>
  </si>
  <si>
    <t>Taiwan</t>
  </si>
  <si>
    <t>Tanzanie</t>
  </si>
  <si>
    <t>Tchad</t>
  </si>
  <si>
    <t>Thaïlande</t>
  </si>
  <si>
    <t>Togo</t>
  </si>
  <si>
    <t>Turquie</t>
  </si>
  <si>
    <t>Ukraine</t>
  </si>
  <si>
    <t>Uruguay</t>
  </si>
  <si>
    <t>Vietnam</t>
  </si>
  <si>
    <t>Zambie</t>
  </si>
  <si>
    <t>Zimbabwe</t>
  </si>
  <si>
    <t>Soins programmés</t>
  </si>
  <si>
    <t>Maurice (Ile)</t>
  </si>
  <si>
    <t>Bénin</t>
  </si>
  <si>
    <t>Bosnie-Herzégovine</t>
  </si>
  <si>
    <t>Corée du Sud</t>
  </si>
  <si>
    <t>SOINS MEDICALEMENT NECESSAIRES</t>
  </si>
  <si>
    <t>TOUS TYPES DE SOINS</t>
  </si>
  <si>
    <t>FACTURES</t>
  </si>
  <si>
    <t>Bénéficiaires</t>
  </si>
  <si>
    <t>Dépenses</t>
  </si>
  <si>
    <t>Bélize</t>
  </si>
  <si>
    <t>Biélorussie</t>
  </si>
  <si>
    <t>Brésil</t>
  </si>
  <si>
    <t>Burkina Faso</t>
  </si>
  <si>
    <t>Haïti</t>
  </si>
  <si>
    <t>Nigéria</t>
  </si>
  <si>
    <t>Ouzbékistan</t>
  </si>
  <si>
    <t>Palestine</t>
  </si>
  <si>
    <t>Pérou</t>
  </si>
  <si>
    <t>Timor Oriental</t>
  </si>
  <si>
    <t>Turkmenistan</t>
  </si>
  <si>
    <t>Vénézuela</t>
  </si>
  <si>
    <t>Yémen</t>
  </si>
  <si>
    <t>Oui</t>
  </si>
  <si>
    <t>Type de soins</t>
  </si>
  <si>
    <t>Nature des soins</t>
  </si>
  <si>
    <t>Montant moyen</t>
  </si>
  <si>
    <t>Nombre</t>
  </si>
  <si>
    <t>Répartition</t>
  </si>
  <si>
    <t>Soins médicalement nécessaires</t>
  </si>
  <si>
    <t>-</t>
  </si>
  <si>
    <t>Tous type de soins</t>
  </si>
  <si>
    <t>Graphique. Montant moyen des dépenses de soins de santé des assurés des régimes français au sein de l'UE-EEE-Suisse selon le type de soins</t>
  </si>
  <si>
    <t>Répartition bénéficiaires</t>
  </si>
  <si>
    <t>Répartition dépenses</t>
  </si>
  <si>
    <t>Graphique. Montant moyen des dépenses de soins de santé des assurés des régimes français hors de l'UE-EEE-Suisse selon le type de soins</t>
  </si>
  <si>
    <t>Rang</t>
  </si>
  <si>
    <t>Total</t>
  </si>
  <si>
    <t>Autres pays</t>
  </si>
  <si>
    <t>Soins nécessaires</t>
  </si>
  <si>
    <t>Soins liés à la résidence</t>
  </si>
  <si>
    <t>Conventions transfrontalières</t>
  </si>
  <si>
    <t>UE-EEE-Suisse</t>
  </si>
  <si>
    <t>Hors UE-EEE-Suisse</t>
  </si>
  <si>
    <t>Soins urgents</t>
  </si>
  <si>
    <t>SNCF</t>
  </si>
  <si>
    <t>RATP</t>
  </si>
  <si>
    <t>Données non ventilées</t>
  </si>
  <si>
    <t>Organismes</t>
  </si>
  <si>
    <t>Autres</t>
  </si>
  <si>
    <t>Erythrée</t>
  </si>
  <si>
    <t>Liberia</t>
  </si>
  <si>
    <t>Malawi</t>
  </si>
  <si>
    <t>Micronésie</t>
  </si>
  <si>
    <t>Croisières</t>
  </si>
  <si>
    <t>ACCUEIL</t>
  </si>
  <si>
    <t>Données ventilées par pays, type de soins, nature de soins</t>
  </si>
  <si>
    <t>Continent</t>
  </si>
  <si>
    <t>Afrique</t>
  </si>
  <si>
    <t>Europe</t>
  </si>
  <si>
    <t>Amérique</t>
  </si>
  <si>
    <t>Asie</t>
  </si>
  <si>
    <t>Océanie</t>
  </si>
  <si>
    <t>Botswana</t>
  </si>
  <si>
    <t>Guyana</t>
  </si>
  <si>
    <t>Croisière</t>
  </si>
  <si>
    <t>Tous continents</t>
  </si>
  <si>
    <t>Brunei</t>
  </si>
  <si>
    <t>Géorgie</t>
  </si>
  <si>
    <t>Nouvelle-Calédonie</t>
  </si>
  <si>
    <t>République Centrafricaine</t>
  </si>
  <si>
    <t>République Démocratique du Congo</t>
  </si>
  <si>
    <t>République Dominicaine</t>
  </si>
  <si>
    <t>Forfait</t>
  </si>
  <si>
    <t>Circuit 1</t>
  </si>
  <si>
    <t>Circuit 2</t>
  </si>
  <si>
    <t>Graphique 9. Répartition des bénéficiaires selon l'organisme qui a remboursé les soins</t>
  </si>
  <si>
    <t>Graphique 10. Répartition des dépenses selon l'organisme qui a remboursé les soins</t>
  </si>
  <si>
    <t>Légende :</t>
  </si>
  <si>
    <t>Graphique 16. Principaux pays des soins des assurés des régimes français selon le montant des dépenses</t>
  </si>
  <si>
    <t>Convention bilatérale où le risque maladie est visé</t>
  </si>
  <si>
    <t>Données utilisées pour les cartes 5 &amp; 6</t>
  </si>
  <si>
    <t>Arrêt Vanbraekel</t>
  </si>
  <si>
    <t>Bénéficaires</t>
  </si>
  <si>
    <t>dont conventions bilatérales</t>
  </si>
  <si>
    <t>dont hors convention</t>
  </si>
  <si>
    <t>Lésotho</t>
  </si>
  <si>
    <t>Sao Tomé et Principes</t>
  </si>
  <si>
    <t>Sierra Leone</t>
  </si>
  <si>
    <t>Somalie</t>
  </si>
  <si>
    <t>Swaziland</t>
  </si>
  <si>
    <t>Tadjikistan</t>
  </si>
  <si>
    <t>ENIM (Marins)</t>
  </si>
  <si>
    <t>MGEN (Fonctionnaires)</t>
  </si>
  <si>
    <t>CAVIMAC (Culte)</t>
  </si>
  <si>
    <t>CAMIEG (Electricité et Gaz)</t>
  </si>
  <si>
    <t>CCMSA (Régime agricole)</t>
  </si>
  <si>
    <t>CNSE (Régime général)</t>
  </si>
  <si>
    <t>CRCPEN (Clercs de notaire)</t>
  </si>
  <si>
    <t>SSM (Régime minier)</t>
  </si>
  <si>
    <t>dont</t>
  </si>
  <si>
    <t>Hospitalisations</t>
  </si>
  <si>
    <t>SOINS LIES A LA RESIDENCE</t>
  </si>
  <si>
    <t>TOTAL FACTURES</t>
  </si>
  <si>
    <t>E109</t>
  </si>
  <si>
    <t>E121</t>
  </si>
  <si>
    <t>TOTAL FORFAITS</t>
  </si>
  <si>
    <t>Montant remboursé : tous types de soins</t>
  </si>
  <si>
    <t>Bénéficiaires : tous types de soins</t>
  </si>
  <si>
    <t>Guinée-Equatoriale</t>
  </si>
  <si>
    <t>SOINS URGENTS</t>
  </si>
  <si>
    <t>[20 à 40%[</t>
  </si>
  <si>
    <t>[40% et +[</t>
  </si>
  <si>
    <r>
      <t xml:space="preserve">Données liées à des soins effectués </t>
    </r>
    <r>
      <rPr>
        <b/>
        <i/>
        <sz val="12"/>
        <color indexed="8"/>
        <rFont val="Calibri"/>
        <family val="2"/>
      </rPr>
      <t>au sein de l'UE-EEE-Suisse</t>
    </r>
  </si>
  <si>
    <r>
      <t xml:space="preserve">Données liées à des soins effectués </t>
    </r>
    <r>
      <rPr>
        <b/>
        <i/>
        <sz val="12"/>
        <color indexed="8"/>
        <rFont val="Calibri"/>
        <family val="2"/>
      </rPr>
      <t>en dehors de la zone UE-EEE-Suisse</t>
    </r>
  </si>
  <si>
    <r>
      <rPr>
        <b/>
        <u/>
        <sz val="11"/>
        <color indexed="8"/>
        <rFont val="Calibri"/>
        <family val="2"/>
        <scheme val="minor"/>
      </rPr>
      <t xml:space="preserve">Circuit 1 : </t>
    </r>
    <r>
      <rPr>
        <sz val="11"/>
        <color theme="1"/>
        <rFont val="Calibri"/>
        <family val="2"/>
        <scheme val="minor"/>
      </rPr>
      <t>remboursements directs aux assurés ayant effectués des dépenses de santé à l'étranger</t>
    </r>
  </si>
  <si>
    <t>SOUS-TOTAL CONVENTION BILATERALE AVEC RISQUE MALADIE-MATERNITE</t>
  </si>
  <si>
    <t>Kosovo</t>
  </si>
  <si>
    <t>Décrets de coordination</t>
  </si>
  <si>
    <t>Total bilatérales</t>
  </si>
  <si>
    <t>Total Hors convention</t>
  </si>
  <si>
    <t>République Populaire de Corée</t>
  </si>
  <si>
    <t>CNSE - coordination</t>
  </si>
  <si>
    <t>CHEMIN DE FER SECONDAIRES</t>
  </si>
  <si>
    <r>
      <rPr>
        <b/>
        <u/>
        <sz val="11"/>
        <color indexed="8"/>
        <rFont val="Calibri"/>
        <family val="2"/>
        <scheme val="minor"/>
      </rPr>
      <t>Circuit 2 :</t>
    </r>
    <r>
      <rPr>
        <sz val="11"/>
        <color theme="1"/>
        <rFont val="Calibri"/>
        <family val="2"/>
        <scheme val="minor"/>
      </rPr>
      <t xml:space="preserve"> paiement des dettes par le CNSE - coordination aux organismes étrangers</t>
    </r>
  </si>
  <si>
    <r>
      <t>Source :</t>
    </r>
    <r>
      <rPr>
        <sz val="10"/>
        <color indexed="8"/>
        <rFont val="Calibri"/>
        <family val="2"/>
        <scheme val="minor"/>
      </rPr>
      <t xml:space="preserve"> Cnse</t>
    </r>
  </si>
  <si>
    <t>Graphique 13. Bénéficiaires et dépenses de soins de santé des assurés  des régimes français au sein de l'UE-EEE-Suisse selon le type de situation</t>
  </si>
  <si>
    <t>Graphique 14. Répartition des dépenses de soins de santé des assurés des régimes français au sein de l'UE-EEE-Suisse selon la nature des soins</t>
  </si>
  <si>
    <t>Graphique 12. Principaux pays des soins des assurés des régimes français selon le montant des dépenses</t>
  </si>
  <si>
    <t>Graphique 11. Principaux pays des soins des assurés des régimes français selon le nombre de bénéficiaires</t>
  </si>
  <si>
    <t>Graphique 17. Bénéficiaires et dépenses de soins de santé des assurés  des régimes français hors de l'UE-EEE-Suisse selon le type de situation</t>
  </si>
  <si>
    <t>Graphique 18. Répartition des dépenses de soins de santé des assurés des régimes français hors de l'UE-EEE-Suisse selon la nature des soins</t>
  </si>
  <si>
    <t>Graphique 15. Principaux pays des soins des assurés des régimes français selon le nombre de bénéficiaires</t>
  </si>
  <si>
    <r>
      <t>Source :</t>
    </r>
    <r>
      <rPr>
        <sz val="10"/>
        <color indexed="8"/>
        <rFont val="Calibri"/>
        <family val="2"/>
        <scheme val="minor"/>
      </rPr>
      <t xml:space="preserve"> CNSE</t>
    </r>
  </si>
  <si>
    <r>
      <t>Source</t>
    </r>
    <r>
      <rPr>
        <sz val="10"/>
        <color theme="1"/>
        <rFont val="Calibri"/>
        <family val="2"/>
        <scheme val="minor"/>
      </rPr>
      <t> :</t>
    </r>
    <r>
      <rPr>
        <sz val="10"/>
        <color indexed="8"/>
        <rFont val="Calibri"/>
        <family val="2"/>
        <scheme val="minor"/>
      </rPr>
      <t xml:space="preserve"> CNSE</t>
    </r>
  </si>
  <si>
    <r>
      <rPr>
        <u/>
        <sz val="11"/>
        <color theme="1"/>
        <rFont val="Calibri"/>
        <family val="2"/>
        <scheme val="minor"/>
      </rPr>
      <t>Les regroupements suivants ont été effectués</t>
    </r>
    <r>
      <rPr>
        <sz val="11"/>
        <color theme="1"/>
        <rFont val="Calibri"/>
        <family val="2"/>
        <scheme val="minor"/>
      </rPr>
      <t xml:space="preserve"> :</t>
    </r>
  </si>
  <si>
    <t>Graphique 11 : Répartition des bénéficiaires de soins de santé des régimes français au sein de l’UE-EEE-Suisse</t>
  </si>
  <si>
    <t>Graphiques 13 &amp; 14 : Répartition des dépenses de soins de santé des assurés des régimes français au sein de l'UE-EEE-Suisse</t>
  </si>
  <si>
    <t>Graphique 12 : Répartition des dépenses selon le type et la nature des soins</t>
  </si>
  <si>
    <t>Graphiques 17 &amp; 18 : Répartition des dépenses de soins de santé des assurés des régimes français en dehors de la zone UE-EEE-Suisse</t>
  </si>
  <si>
    <t>Graphique 15 : Répartition des bénéficiaires de soins de santé des régimes français en dehors de la zone UE-EEE-Suisse</t>
  </si>
  <si>
    <t>Graphique 16 : Répartition des dépenses selon le type et la nature des soins</t>
  </si>
  <si>
    <t>Les soins de santé remboursés au cours de l'année 2016 suite à des soins à l'étranger</t>
  </si>
  <si>
    <t>CONTROLES MEDICAUX</t>
  </si>
  <si>
    <t>FRAIS DE GESTION</t>
  </si>
  <si>
    <t>Antigua et Barbuda</t>
  </si>
  <si>
    <t>Bahamas</t>
  </si>
  <si>
    <t>Barbade</t>
  </si>
  <si>
    <t>Bhoutan</t>
  </si>
  <si>
    <t>Dominique</t>
  </si>
  <si>
    <t>Fidji</t>
  </si>
  <si>
    <t>Grenade</t>
  </si>
  <si>
    <t>Kiribati</t>
  </si>
  <si>
    <t>Marshall (Iles)</t>
  </si>
  <si>
    <t>Nauru</t>
  </si>
  <si>
    <t>Palaos (Iles)</t>
  </si>
  <si>
    <t>Papouasi-Nouvelle Guinée</t>
  </si>
  <si>
    <t>Pitcairn (Ile)</t>
  </si>
  <si>
    <t>Sahara occidental</t>
  </si>
  <si>
    <t>Sainte Lucie</t>
  </si>
  <si>
    <t>Saint-Vincent Grenadines</t>
  </si>
  <si>
    <t>Salomon (Iles)</t>
  </si>
  <si>
    <t>Samoa occidentales</t>
  </si>
  <si>
    <t>Soudan du sud</t>
  </si>
  <si>
    <t>St-Christophe-et-Nieves</t>
  </si>
  <si>
    <t>TOM des Etats-Unis (Antilles)</t>
  </si>
  <si>
    <t>TOM des Etats-Unis (Pacifique)</t>
  </si>
  <si>
    <t>TOM des Pays-Bas (Antilles)</t>
  </si>
  <si>
    <t>TOM du Royaume-Uni (Antilles)</t>
  </si>
  <si>
    <t>TOM du Royaume-Uni (Atlantique sud)</t>
  </si>
  <si>
    <t>TOM du Royaume-Uni (Océan indien)</t>
  </si>
  <si>
    <t>Tonga</t>
  </si>
  <si>
    <t>Trinité et Tabago</t>
  </si>
  <si>
    <t>Tuvalu</t>
  </si>
  <si>
    <t>Vanuatu</t>
  </si>
  <si>
    <t>Vatican</t>
  </si>
  <si>
    <t>Wallis et Futuna</t>
  </si>
  <si>
    <r>
      <rPr>
        <b/>
        <sz val="11"/>
        <color theme="1"/>
        <rFont val="Calibri"/>
        <family val="2"/>
        <scheme val="minor"/>
      </rPr>
      <t>TOM des Etats-Unis (Antilles)</t>
    </r>
    <r>
      <rPr>
        <sz val="11"/>
        <color theme="1"/>
        <rFont val="Calibri"/>
        <family val="2"/>
        <scheme val="minor"/>
      </rPr>
      <t xml:space="preserve"> : Porto Rico, Iles Vierges des Etats-Unis</t>
    </r>
  </si>
  <si>
    <r>
      <rPr>
        <b/>
        <sz val="11"/>
        <color theme="1"/>
        <rFont val="Calibri"/>
        <family val="2"/>
        <scheme val="minor"/>
      </rPr>
      <t>TOM des Etats-Unis (Pacifique)</t>
    </r>
    <r>
      <rPr>
        <sz val="11"/>
        <color theme="1"/>
        <rFont val="Calibri"/>
        <family val="2"/>
        <scheme val="minor"/>
      </rPr>
      <t xml:space="preserve"> : Guam, Iles Mariannes du Nord, Samoa Américaines</t>
    </r>
  </si>
  <si>
    <r>
      <rPr>
        <b/>
        <sz val="11"/>
        <color theme="1"/>
        <rFont val="Calibri"/>
        <family val="2"/>
        <scheme val="minor"/>
      </rPr>
      <t>TOM des Pays-Bas (Antilles)</t>
    </r>
    <r>
      <rPr>
        <sz val="11"/>
        <color theme="1"/>
        <rFont val="Calibri"/>
        <family val="2"/>
        <scheme val="minor"/>
      </rPr>
      <t xml:space="preserve"> : Aruba, Curaçao, Bonaire, Saint Eustache, Saba, Saint Martin</t>
    </r>
  </si>
  <si>
    <r>
      <rPr>
        <b/>
        <sz val="11"/>
        <color theme="1"/>
        <rFont val="Calibri"/>
        <family val="2"/>
        <scheme val="minor"/>
      </rPr>
      <t>TOM du Royaume-Uni (Antilles)</t>
    </r>
    <r>
      <rPr>
        <sz val="11"/>
        <color theme="1"/>
        <rFont val="Calibri"/>
        <family val="2"/>
        <scheme val="minor"/>
      </rPr>
      <t xml:space="preserve"> : Anguilla, Bermudes, Iles Caimanes, Iles Turks et Caiques, Iles Vierges Britanniques, Montserrat, Territoire du RU aux Antilles</t>
    </r>
  </si>
  <si>
    <r>
      <rPr>
        <b/>
        <sz val="11"/>
        <color theme="1"/>
        <rFont val="Calibri"/>
        <family val="2"/>
        <scheme val="minor"/>
      </rPr>
      <t>TOM du Royaume-Uni (Atlantique sud)</t>
    </r>
    <r>
      <rPr>
        <sz val="11"/>
        <color theme="1"/>
        <rFont val="Calibri"/>
        <family val="2"/>
        <scheme val="minor"/>
      </rPr>
      <t xml:space="preserve"> : Iles Malouines, Géorgies du Sud et Iles Sandwich du Sud, Territoire du RU dans l'Atlantique Sud</t>
    </r>
  </si>
  <si>
    <r>
      <rPr>
        <b/>
        <sz val="11"/>
        <color theme="1"/>
        <rFont val="Calibri"/>
        <family val="2"/>
        <scheme val="minor"/>
      </rPr>
      <t>TOM du Royaume-Uni (Océan indien)</t>
    </r>
    <r>
      <rPr>
        <sz val="11"/>
        <color theme="1"/>
        <rFont val="Calibri"/>
        <family val="2"/>
        <scheme val="minor"/>
      </rPr>
      <t xml:space="preserve"> : Sainte Hélène, Ascension, Tristan Da Cunha, Territoire britannique de l'Océan Indien</t>
    </r>
  </si>
  <si>
    <t>Type accord</t>
  </si>
  <si>
    <t>Hors conventions</t>
  </si>
  <si>
    <t>Bilatérales</t>
  </si>
  <si>
    <t>Décrets</t>
  </si>
  <si>
    <t>Montants</t>
  </si>
  <si>
    <t>Frais gestion</t>
  </si>
  <si>
    <t>%</t>
  </si>
  <si>
    <t>Total général :</t>
  </si>
  <si>
    <t>Contrôles médicaux</t>
  </si>
  <si>
    <t>Frais de gestion</t>
  </si>
  <si>
    <t>Montant remboursé hors frais gestion</t>
  </si>
  <si>
    <t>Montant remboursé frais gestion compris</t>
  </si>
  <si>
    <r>
      <t>Allemagne</t>
    </r>
    <r>
      <rPr>
        <vertAlign val="superscript"/>
        <sz val="11"/>
        <color theme="1"/>
        <rFont val="Calibri"/>
        <family val="2"/>
        <scheme val="minor"/>
      </rPr>
      <t xml:space="preserve"> (1)</t>
    </r>
  </si>
  <si>
    <r>
      <t>Croatie</t>
    </r>
    <r>
      <rPr>
        <vertAlign val="superscript"/>
        <sz val="11"/>
        <color theme="1"/>
        <rFont val="Calibri"/>
        <family val="2"/>
        <scheme val="minor"/>
      </rPr>
      <t xml:space="preserve"> (2)</t>
    </r>
  </si>
  <si>
    <r>
      <rPr>
        <i/>
        <vertAlign val="superscript"/>
        <sz val="9"/>
        <rFont val="Times New Roman"/>
        <family val="1"/>
      </rPr>
      <t>(1)</t>
    </r>
    <r>
      <rPr>
        <i/>
        <sz val="9"/>
        <rFont val="Times New Roman"/>
        <family val="1"/>
      </rPr>
      <t xml:space="preserve"> : Concerne les bateliers rhénans</t>
    </r>
  </si>
  <si>
    <r>
      <rPr>
        <i/>
        <vertAlign val="superscript"/>
        <sz val="9"/>
        <rFont val="Times New Roman"/>
        <family val="1"/>
      </rPr>
      <t>(2)</t>
    </r>
    <r>
      <rPr>
        <i/>
        <sz val="9"/>
        <rFont val="Times New Roman"/>
        <family val="1"/>
      </rPr>
      <t xml:space="preserve"> : Concerne des remboursements au titre de l'ancienne convention franco-croate.</t>
    </r>
  </si>
  <si>
    <r>
      <rPr>
        <u/>
        <sz val="10"/>
        <color theme="1"/>
        <rFont val="Calibri"/>
        <family val="2"/>
        <scheme val="minor"/>
      </rPr>
      <t>Note de lecture</t>
    </r>
    <r>
      <rPr>
        <sz val="10"/>
        <color theme="1"/>
        <rFont val="Calibri"/>
        <family val="2"/>
        <scheme val="minor"/>
      </rPr>
      <t xml:space="preserve"> : </t>
    </r>
  </si>
  <si>
    <t>Pays</t>
  </si>
  <si>
    <t>TOUS PAYS</t>
  </si>
  <si>
    <t>Dont frais de gestion</t>
  </si>
  <si>
    <t>Montant remboursé (hors frais de gestion)</t>
  </si>
  <si>
    <t>Carte 3 - Mappemonde : Répartition des dépenses selon la localisation géographique des soins</t>
  </si>
  <si>
    <t>Tableau 4, graphiques 9 &amp; 10 : Répartition des dépenses et des bénéficiaires selon l'organisme qui a remboursé les soins</t>
  </si>
  <si>
    <t>Tableau 4. Remboursements des soins de santé reçus à l'étranger par les assurés des régimes français</t>
  </si>
  <si>
    <t>Continent non déterminés</t>
  </si>
  <si>
    <t>[0 à 3,5%[</t>
  </si>
  <si>
    <t>[3,5 à 20%[</t>
  </si>
  <si>
    <t xml:space="preserve">Soins de santé remboursés au cours de l'année 2017 à la suite de soins effectués à l'étranger par des assurés des régimes français </t>
  </si>
  <si>
    <t>DETTES ÉTRANGÈRES PAYÉES PAR LA FRANCE AU COURS DE L'ANNEE 2017</t>
  </si>
  <si>
    <t>Les dettes remboursées aux pays de l'UE-EEE-Suisse et les remboursements directs aux assurés des régimes français pour des soins au sein de la zone UE-EEE-Suisse en 2017</t>
  </si>
  <si>
    <t>Les dettes remboursées aux pays hors UE-EEE-Suisse et les remboursements directs aux assurés des régimes français pour des soins en dehors de la zone UE-EEE-Suisse en 2017</t>
  </si>
  <si>
    <t>Saint-Barthélémy</t>
  </si>
  <si>
    <r>
      <t>Note de lecture</t>
    </r>
    <r>
      <rPr>
        <sz val="10"/>
        <color theme="1"/>
        <rFont val="Calibri"/>
        <family val="2"/>
        <scheme val="minor"/>
      </rPr>
      <t xml:space="preserve"> : Les contrôles médicaux et les forfaits sont liés majoritairement à la résidence.</t>
    </r>
  </si>
  <si>
    <r>
      <t>Note de lecture</t>
    </r>
    <r>
      <rPr>
        <sz val="10"/>
        <color theme="1"/>
        <rFont val="Calibri"/>
        <family val="2"/>
        <scheme val="minor"/>
      </rPr>
      <t xml:space="preserve"> : Les contrôles médicaux et les forfaits sont liés majoritairement à la résidence. Les frais de gestion sont proratisés selon les types de soins.</t>
    </r>
  </si>
  <si>
    <t xml:space="preserve">Note de lecture : </t>
  </si>
  <si>
    <r>
      <t>Montant moyen (</t>
    </r>
    <r>
      <rPr>
        <i/>
        <sz val="10"/>
        <color theme="1"/>
        <rFont val="Calibri"/>
        <family val="2"/>
        <scheme val="minor"/>
      </rPr>
      <t>hors frais de gestion</t>
    </r>
    <r>
      <rPr>
        <sz val="12"/>
        <color theme="1"/>
        <rFont val="Calibri"/>
        <family val="2"/>
        <scheme val="minor"/>
      </rPr>
      <t>)</t>
    </r>
  </si>
  <si>
    <t>Sécurité sociale des indépendants (ex-RSI)</t>
  </si>
  <si>
    <t>Nombre de patients</t>
  </si>
  <si>
    <t>Remboursement (€)</t>
  </si>
  <si>
    <r>
      <t xml:space="preserve">Les placements à l'étranger </t>
    </r>
    <r>
      <rPr>
        <b/>
        <i/>
        <sz val="9"/>
        <color theme="1"/>
        <rFont val="Calibri"/>
        <family val="2"/>
        <scheme val="minor"/>
      </rPr>
      <t>(voir rapport d'activité du CNSE)</t>
    </r>
  </si>
  <si>
    <t>dont frais de gestion UE-EEE-Suisse</t>
  </si>
  <si>
    <t>dont frais de gestion hors UE-EEE-Suisse</t>
  </si>
</sst>
</file>

<file path=xl/styles.xml><?xml version="1.0" encoding="utf-8"?>
<styleSheet xmlns="http://schemas.openxmlformats.org/spreadsheetml/2006/main">
  <numFmts count="13">
    <numFmt numFmtId="41" formatCode="_-* #,##0\ _€_-;\-* #,##0\ _€_-;_-* &quot;-&quot;\ _€_-;_-@_-"/>
    <numFmt numFmtId="44" formatCode="_-* #,##0.00\ &quot;€&quot;_-;\-* #,##0.00\ &quot;€&quot;_-;_-* &quot;-&quot;??\ &quot;€&quot;_-;_-@_-"/>
    <numFmt numFmtId="43" formatCode="_-* #,##0.00\ _€_-;\-* #,##0.00\ _€_-;_-* &quot;-&quot;??\ _€_-;_-@_-"/>
    <numFmt numFmtId="164" formatCode="0.0%"/>
    <numFmt numFmtId="165" formatCode="#,##0\ &quot;€&quot;"/>
    <numFmt numFmtId="166" formatCode="#,##0.0\ &quot;€&quot;"/>
    <numFmt numFmtId="167" formatCode="#,##0.0"/>
    <numFmt numFmtId="168" formatCode="_-* #,##0.0\ _€_-;\-* #,##0.0\ _€_-;_-* &quot;-&quot;?\ _€_-;_-@_-"/>
    <numFmt numFmtId="169" formatCode="#,##0&quot; &quot;"/>
    <numFmt numFmtId="170" formatCode="_-* #,##0\ _€_-;\-* #,##0\ _€_-;_-* &quot;-&quot;??\ _€_-;_-@_-"/>
    <numFmt numFmtId="171" formatCode="_-* #,##0\ &quot;€&quot;_-;\-* #,##0\ &quot;€&quot;_-;_-* &quot;-&quot;??\ &quot;€&quot;_-;_-@_-"/>
    <numFmt numFmtId="172" formatCode="_-* #,##0\ _€_-;\-* #,##0\ _€_-;_-* &quot;-&quot;?\ _€_-;_-@_-"/>
    <numFmt numFmtId="173" formatCode="#,##0.00,,&quot; M€&quot;"/>
  </numFmts>
  <fonts count="54">
    <font>
      <sz val="11"/>
      <color theme="1"/>
      <name val="Calibri"/>
      <family val="2"/>
      <scheme val="minor"/>
    </font>
    <font>
      <sz val="10"/>
      <name val="Arial"/>
      <family val="2"/>
    </font>
    <font>
      <sz val="11"/>
      <color indexed="8"/>
      <name val="Calibri"/>
      <family val="2"/>
    </font>
    <font>
      <sz val="11"/>
      <color theme="1"/>
      <name val="Calibri"/>
      <family val="2"/>
      <scheme val="minor"/>
    </font>
    <font>
      <u/>
      <sz val="11"/>
      <color theme="10"/>
      <name val="Calibri"/>
      <family val="2"/>
    </font>
    <font>
      <b/>
      <sz val="11"/>
      <color theme="1"/>
      <name val="Calibri"/>
      <family val="2"/>
      <scheme val="minor"/>
    </font>
    <font>
      <i/>
      <sz val="11"/>
      <color theme="1"/>
      <name val="Calibri"/>
      <family val="2"/>
      <scheme val="minor"/>
    </font>
    <font>
      <i/>
      <sz val="10"/>
      <color theme="1"/>
      <name val="Calibri"/>
      <family val="2"/>
      <scheme val="minor"/>
    </font>
    <font>
      <b/>
      <sz val="11"/>
      <color rgb="FF000000"/>
      <name val="Calibri"/>
      <family val="2"/>
      <scheme val="minor"/>
    </font>
    <font>
      <sz val="11"/>
      <color rgb="FF000000"/>
      <name val="Calibri"/>
      <family val="2"/>
      <scheme val="minor"/>
    </font>
    <font>
      <b/>
      <i/>
      <u/>
      <sz val="11"/>
      <color theme="1"/>
      <name val="Calibri"/>
      <family val="2"/>
      <scheme val="minor"/>
    </font>
    <font>
      <b/>
      <i/>
      <sz val="9"/>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b/>
      <sz val="10"/>
      <color rgb="FF000000"/>
      <name val="Calibri"/>
      <family val="2"/>
    </font>
    <font>
      <sz val="10"/>
      <color rgb="FF000000"/>
      <name val="Calibri"/>
      <family val="2"/>
      <scheme val="minor"/>
    </font>
    <font>
      <b/>
      <sz val="10"/>
      <color rgb="FF000000"/>
      <name val="Calibri"/>
      <family val="2"/>
      <scheme val="minor"/>
    </font>
    <font>
      <u/>
      <sz val="11"/>
      <color theme="10"/>
      <name val="Calibri"/>
      <family val="2"/>
      <scheme val="minor"/>
    </font>
    <font>
      <sz val="10"/>
      <name val="Calibri"/>
      <family val="2"/>
      <scheme val="minor"/>
    </font>
    <font>
      <u/>
      <sz val="10"/>
      <color theme="1"/>
      <name val="Calibri"/>
      <family val="2"/>
      <scheme val="minor"/>
    </font>
    <font>
      <sz val="10"/>
      <color indexed="8"/>
      <name val="Calibri"/>
      <family val="2"/>
      <scheme val="minor"/>
    </font>
    <font>
      <b/>
      <sz val="14"/>
      <color theme="1"/>
      <name val="Calibri"/>
      <family val="2"/>
    </font>
    <font>
      <sz val="11"/>
      <color theme="1"/>
      <name val="Calibri"/>
      <family val="2"/>
    </font>
    <font>
      <b/>
      <sz val="11"/>
      <color theme="1"/>
      <name val="Calibri"/>
      <family val="2"/>
    </font>
    <font>
      <i/>
      <sz val="12"/>
      <color theme="1"/>
      <name val="Calibri"/>
      <family val="2"/>
    </font>
    <font>
      <b/>
      <i/>
      <sz val="12"/>
      <color indexed="8"/>
      <name val="Calibri"/>
      <family val="2"/>
    </font>
    <font>
      <b/>
      <u/>
      <sz val="11"/>
      <color indexed="8"/>
      <name val="Calibri"/>
      <family val="2"/>
      <scheme val="minor"/>
    </font>
    <font>
      <b/>
      <sz val="10"/>
      <color rgb="FFFF0000"/>
      <name val="Calibri"/>
      <family val="2"/>
      <scheme val="minor"/>
    </font>
    <font>
      <b/>
      <sz val="11"/>
      <color rgb="FFFF0000"/>
      <name val="Calibri"/>
      <family val="2"/>
      <scheme val="minor"/>
    </font>
    <font>
      <sz val="11"/>
      <color rgb="FFFF0000"/>
      <name val="Calibri"/>
      <family val="2"/>
      <scheme val="minor"/>
    </font>
    <font>
      <sz val="9"/>
      <name val="Times New Roman"/>
      <family val="1"/>
    </font>
    <font>
      <i/>
      <sz val="11"/>
      <color rgb="FF00B050"/>
      <name val="Calibri"/>
      <family val="2"/>
      <scheme val="minor"/>
    </font>
    <font>
      <i/>
      <sz val="11"/>
      <color rgb="FFFF0000"/>
      <name val="Calibri"/>
      <family val="2"/>
      <scheme val="minor"/>
    </font>
    <font>
      <b/>
      <sz val="10"/>
      <name val="Calibri"/>
      <family val="2"/>
      <scheme val="minor"/>
    </font>
    <font>
      <b/>
      <i/>
      <sz val="10"/>
      <name val="Calibri"/>
      <family val="2"/>
      <scheme val="minor"/>
    </font>
    <font>
      <i/>
      <sz val="10"/>
      <name val="Calibri"/>
      <family val="2"/>
      <scheme val="minor"/>
    </font>
    <font>
      <b/>
      <sz val="11"/>
      <name val="Calibri"/>
      <family val="2"/>
      <scheme val="minor"/>
    </font>
    <font>
      <b/>
      <u/>
      <sz val="11"/>
      <color theme="1"/>
      <name val="Calibri"/>
      <family val="2"/>
      <scheme val="minor"/>
    </font>
    <font>
      <u/>
      <sz val="11"/>
      <color theme="1"/>
      <name val="Calibri"/>
      <family val="2"/>
      <scheme val="minor"/>
    </font>
    <font>
      <sz val="11"/>
      <name val="Calibri"/>
      <family val="2"/>
      <scheme val="minor"/>
    </font>
    <font>
      <vertAlign val="superscript"/>
      <sz val="11"/>
      <color theme="1"/>
      <name val="Calibri"/>
      <family val="2"/>
      <scheme val="minor"/>
    </font>
    <font>
      <i/>
      <sz val="9"/>
      <name val="Times New Roman"/>
      <family val="1"/>
    </font>
    <font>
      <i/>
      <vertAlign val="superscript"/>
      <sz val="9"/>
      <name val="Times New Roman"/>
      <family val="1"/>
    </font>
    <font>
      <i/>
      <sz val="9"/>
      <color theme="1"/>
      <name val="Calibri"/>
      <family val="2"/>
      <scheme val="minor"/>
    </font>
    <font>
      <sz val="10"/>
      <color theme="1"/>
      <name val="Gill Sans MT"/>
      <family val="2"/>
    </font>
    <font>
      <b/>
      <sz val="14"/>
      <color theme="1"/>
      <name val="Calibri"/>
      <family val="2"/>
      <scheme val="minor"/>
    </font>
    <font>
      <sz val="12"/>
      <color theme="1"/>
      <name val="Calibri"/>
      <family val="2"/>
      <scheme val="minor"/>
    </font>
    <font>
      <b/>
      <sz val="12"/>
      <color theme="1"/>
      <name val="Calibri"/>
      <family val="2"/>
      <scheme val="minor"/>
    </font>
    <font>
      <sz val="9"/>
      <color indexed="81"/>
      <name val="Tahoma"/>
      <charset val="1"/>
    </font>
    <font>
      <b/>
      <sz val="9"/>
      <color indexed="81"/>
      <name val="Tahoma"/>
      <charset val="1"/>
    </font>
    <font>
      <b/>
      <u/>
      <sz val="9"/>
      <color indexed="81"/>
      <name val="Tahoma"/>
      <family val="2"/>
    </font>
    <font>
      <sz val="9"/>
      <color indexed="81"/>
      <name val="Tahoma"/>
      <family val="2"/>
    </font>
    <font>
      <b/>
      <sz val="9"/>
      <color indexed="81"/>
      <name val="Tahoma"/>
      <family val="2"/>
    </font>
  </fonts>
  <fills count="29">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lightUp">
        <bgColor theme="0" tint="-0.14999847407452621"/>
      </patternFill>
    </fill>
    <fill>
      <patternFill patternType="lightUp">
        <bgColor theme="0" tint="-0.249977111117893"/>
      </patternFill>
    </fill>
    <fill>
      <patternFill patternType="lightUp">
        <bgColor theme="0" tint="-0.14993743705557422"/>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3CA2BE"/>
        <bgColor indexed="64"/>
      </patternFill>
    </fill>
    <fill>
      <patternFill patternType="solid">
        <fgColor theme="8" tint="-0.249977111117893"/>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FFDE75"/>
        <bgColor indexed="64"/>
      </patternFill>
    </fill>
    <fill>
      <patternFill patternType="solid">
        <fgColor theme="0"/>
        <bgColor indexed="64"/>
      </patternFill>
    </fill>
    <fill>
      <patternFill patternType="lightUp">
        <bgColor theme="0"/>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theme="6" tint="-0.499984740745262"/>
        <bgColor indexed="64"/>
      </patternFill>
    </fill>
    <fill>
      <patternFill patternType="lightUp">
        <bgColor theme="9" tint="0.59999389629810485"/>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2">
    <xf numFmtId="0" fontId="0" fillId="0" borderId="0"/>
    <xf numFmtId="0" fontId="4" fillId="0" borderId="0" applyNumberFormat="0" applyFill="0" applyBorder="0" applyAlignment="0" applyProtection="0">
      <alignment vertical="top"/>
      <protection locked="0"/>
    </xf>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44" fontId="3" fillId="0" borderId="0" applyFont="0" applyFill="0" applyBorder="0" applyAlignment="0" applyProtection="0"/>
  </cellStyleXfs>
  <cellXfs count="525">
    <xf numFmtId="0" fontId="0" fillId="0" borderId="0" xfId="0"/>
    <xf numFmtId="0" fontId="5" fillId="0" borderId="0" xfId="0" applyFont="1" applyBorder="1" applyAlignment="1">
      <alignment horizontal="center"/>
    </xf>
    <xf numFmtId="0" fontId="5" fillId="0" borderId="0" xfId="0" applyFont="1" applyFill="1"/>
    <xf numFmtId="0" fontId="5" fillId="0" borderId="0" xfId="0" applyFont="1" applyFill="1" applyBorder="1"/>
    <xf numFmtId="0" fontId="7" fillId="0" borderId="0" xfId="0" applyFont="1"/>
    <xf numFmtId="0" fontId="5" fillId="0" borderId="1" xfId="0" applyFont="1" applyBorder="1"/>
    <xf numFmtId="164" fontId="5" fillId="0" borderId="1" xfId="0" applyNumberFormat="1" applyFont="1" applyBorder="1"/>
    <xf numFmtId="0" fontId="5" fillId="0" borderId="0" xfId="0" applyFont="1"/>
    <xf numFmtId="0" fontId="9" fillId="0" borderId="0" xfId="0" applyFont="1"/>
    <xf numFmtId="3" fontId="5" fillId="0" borderId="1" xfId="0" applyNumberFormat="1" applyFont="1" applyBorder="1"/>
    <xf numFmtId="0" fontId="5" fillId="0" borderId="1" xfId="0" applyFont="1" applyFill="1" applyBorder="1"/>
    <xf numFmtId="3" fontId="5" fillId="9" borderId="1" xfId="0" applyNumberFormat="1" applyFont="1" applyFill="1" applyBorder="1"/>
    <xf numFmtId="3" fontId="5" fillId="10" borderId="1" xfId="0" applyNumberFormat="1" applyFont="1" applyFill="1" applyBorder="1"/>
    <xf numFmtId="3" fontId="5" fillId="11" borderId="1" xfId="0" applyNumberFormat="1" applyFont="1" applyFill="1" applyBorder="1"/>
    <xf numFmtId="3" fontId="5" fillId="12" borderId="1" xfId="0" applyNumberFormat="1" applyFont="1" applyFill="1" applyBorder="1"/>
    <xf numFmtId="3" fontId="5" fillId="13" borderId="5" xfId="0" applyNumberFormat="1" applyFont="1" applyFill="1" applyBorder="1"/>
    <xf numFmtId="3" fontId="5" fillId="17" borderId="5" xfId="0" applyNumberFormat="1" applyFont="1" applyFill="1" applyBorder="1"/>
    <xf numFmtId="0" fontId="5" fillId="0" borderId="1" xfId="0" applyFont="1" applyBorder="1" applyAlignment="1">
      <alignment horizontal="center"/>
    </xf>
    <xf numFmtId="0" fontId="5" fillId="4" borderId="1" xfId="0" applyFont="1" applyFill="1" applyBorder="1" applyAlignment="1">
      <alignment horizontal="center"/>
    </xf>
    <xf numFmtId="0" fontId="13" fillId="3" borderId="2" xfId="0" applyFont="1" applyFill="1" applyBorder="1" applyAlignment="1">
      <alignment vertical="center"/>
    </xf>
    <xf numFmtId="0" fontId="5" fillId="3" borderId="2" xfId="0" applyFont="1" applyFill="1" applyBorder="1" applyAlignment="1">
      <alignment vertical="center"/>
    </xf>
    <xf numFmtId="3" fontId="16" fillId="0" borderId="1" xfId="2" applyNumberFormat="1" applyFont="1" applyFill="1" applyBorder="1" applyAlignment="1">
      <alignment wrapText="1"/>
    </xf>
    <xf numFmtId="164" fontId="16" fillId="0" borderId="1" xfId="2" applyNumberFormat="1" applyFont="1" applyFill="1" applyBorder="1" applyAlignment="1">
      <alignment wrapText="1"/>
    </xf>
    <xf numFmtId="3" fontId="13" fillId="0" borderId="1" xfId="0" applyNumberFormat="1" applyFont="1" applyFill="1" applyBorder="1" applyAlignment="1"/>
    <xf numFmtId="3" fontId="17" fillId="0" borderId="1" xfId="2" applyNumberFormat="1" applyFont="1" applyFill="1" applyBorder="1" applyAlignment="1">
      <alignment wrapText="1"/>
    </xf>
    <xf numFmtId="0" fontId="3" fillId="0" borderId="0" xfId="0" applyFont="1"/>
    <xf numFmtId="4" fontId="3" fillId="0" borderId="0" xfId="0" applyNumberFormat="1" applyFont="1"/>
    <xf numFmtId="3" fontId="3" fillId="0" borderId="0" xfId="0" applyNumberFormat="1" applyFont="1"/>
    <xf numFmtId="0" fontId="18" fillId="2" borderId="3" xfId="1" applyFont="1" applyFill="1" applyBorder="1" applyAlignment="1" applyProtection="1"/>
    <xf numFmtId="0" fontId="8" fillId="0" borderId="0" xfId="0" applyFont="1" applyAlignment="1">
      <alignment horizontal="left"/>
    </xf>
    <xf numFmtId="0" fontId="12" fillId="0" borderId="0" xfId="0" applyFont="1"/>
    <xf numFmtId="0" fontId="19" fillId="4" borderId="1" xfId="0" applyFont="1" applyFill="1" applyBorder="1" applyAlignment="1">
      <alignment horizontal="center" vertical="center" wrapText="1"/>
    </xf>
    <xf numFmtId="0" fontId="12" fillId="3" borderId="1" xfId="0" applyFont="1" applyFill="1" applyBorder="1" applyAlignment="1">
      <alignment horizontal="left"/>
    </xf>
    <xf numFmtId="3" fontId="12" fillId="3" borderId="1" xfId="0" applyNumberFormat="1" applyFont="1" applyFill="1" applyBorder="1" applyAlignment="1">
      <alignment horizontal="right"/>
    </xf>
    <xf numFmtId="0" fontId="12" fillId="3" borderId="1" xfId="0" applyFont="1" applyFill="1" applyBorder="1"/>
    <xf numFmtId="16" fontId="12" fillId="4" borderId="1" xfId="0" applyNumberFormat="1" applyFont="1" applyFill="1" applyBorder="1"/>
    <xf numFmtId="0" fontId="13" fillId="3" borderId="1" xfId="0" applyFont="1" applyFill="1" applyBorder="1"/>
    <xf numFmtId="164" fontId="13" fillId="3" borderId="1" xfId="0" applyNumberFormat="1" applyFont="1" applyFill="1" applyBorder="1"/>
    <xf numFmtId="0" fontId="12" fillId="4" borderId="1" xfId="0" applyFont="1" applyFill="1" applyBorder="1" applyAlignment="1">
      <alignment horizontal="left"/>
    </xf>
    <xf numFmtId="3" fontId="12" fillId="4" borderId="1" xfId="0" applyNumberFormat="1" applyFont="1" applyFill="1" applyBorder="1" applyAlignment="1">
      <alignment horizontal="right"/>
    </xf>
    <xf numFmtId="0" fontId="20" fillId="0" borderId="0" xfId="0" applyFont="1"/>
    <xf numFmtId="0" fontId="23" fillId="0" borderId="0" xfId="0" applyFont="1"/>
    <xf numFmtId="0" fontId="24" fillId="0" borderId="0" xfId="0" applyFont="1"/>
    <xf numFmtId="0" fontId="4" fillId="0" borderId="0" xfId="1" applyFont="1" applyAlignment="1" applyProtection="1"/>
    <xf numFmtId="0" fontId="25" fillId="0" borderId="0" xfId="0" applyFont="1"/>
    <xf numFmtId="0" fontId="15" fillId="0" borderId="0" xfId="0" applyFont="1" applyAlignment="1">
      <alignment horizontal="justify"/>
    </xf>
    <xf numFmtId="0" fontId="17" fillId="0" borderId="0" xfId="0" applyFont="1" applyAlignment="1">
      <alignment horizontal="left"/>
    </xf>
    <xf numFmtId="164" fontId="3" fillId="0" borderId="0" xfId="0" applyNumberFormat="1" applyFont="1"/>
    <xf numFmtId="0" fontId="3" fillId="9" borderId="1" xfId="0" applyFont="1" applyFill="1" applyBorder="1" applyAlignment="1">
      <alignment horizontal="center" vertical="center"/>
    </xf>
    <xf numFmtId="0" fontId="3" fillId="10" borderId="1" xfId="0" applyFont="1" applyFill="1" applyBorder="1" applyAlignment="1">
      <alignment horizontal="center" vertical="center"/>
    </xf>
    <xf numFmtId="0" fontId="3" fillId="11" borderId="1" xfId="0" applyFont="1" applyFill="1" applyBorder="1" applyAlignment="1">
      <alignment horizontal="center" vertical="center"/>
    </xf>
    <xf numFmtId="0" fontId="3" fillId="12" borderId="1" xfId="0" applyFont="1" applyFill="1" applyBorder="1" applyAlignment="1">
      <alignment horizontal="center" vertical="center"/>
    </xf>
    <xf numFmtId="0" fontId="3" fillId="0" borderId="1" xfId="0" applyFont="1" applyBorder="1"/>
    <xf numFmtId="3" fontId="3" fillId="0" borderId="1" xfId="0" applyNumberFormat="1" applyFont="1" applyBorder="1"/>
    <xf numFmtId="167" fontId="3" fillId="0" borderId="0" xfId="0" applyNumberFormat="1" applyFont="1"/>
    <xf numFmtId="3" fontId="19" fillId="3" borderId="1" xfId="0" applyNumberFormat="1" applyFont="1" applyFill="1" applyBorder="1" applyAlignment="1">
      <alignment horizontal="right" vertical="center"/>
    </xf>
    <xf numFmtId="3" fontId="19" fillId="4" borderId="1" xfId="0" applyNumberFormat="1" applyFont="1" applyFill="1" applyBorder="1" applyAlignment="1">
      <alignment horizontal="right" vertical="center"/>
    </xf>
    <xf numFmtId="0" fontId="3" fillId="0" borderId="0" xfId="0" applyFont="1" applyFill="1"/>
    <xf numFmtId="0" fontId="12" fillId="0" borderId="0" xfId="0" applyFont="1" applyFill="1"/>
    <xf numFmtId="3" fontId="12" fillId="0" borderId="0" xfId="0" applyNumberFormat="1" applyFont="1"/>
    <xf numFmtId="165" fontId="3" fillId="0" borderId="0" xfId="0" applyNumberFormat="1" applyFont="1"/>
    <xf numFmtId="10" fontId="3" fillId="0" borderId="0" xfId="0" applyNumberFormat="1" applyFont="1"/>
    <xf numFmtId="164" fontId="3" fillId="0" borderId="1" xfId="0" applyNumberFormat="1" applyFont="1" applyBorder="1"/>
    <xf numFmtId="0" fontId="3" fillId="0" borderId="0" xfId="0" applyFont="1" applyBorder="1"/>
    <xf numFmtId="43" fontId="3" fillId="0" borderId="0" xfId="0" applyNumberFormat="1" applyFont="1"/>
    <xf numFmtId="3" fontId="3" fillId="0" borderId="1" xfId="0" applyNumberFormat="1" applyFont="1" applyFill="1" applyBorder="1"/>
    <xf numFmtId="0" fontId="3" fillId="0" borderId="4" xfId="0" applyFont="1" applyFill="1" applyBorder="1"/>
    <xf numFmtId="4" fontId="12" fillId="0" borderId="0" xfId="0" applyNumberFormat="1" applyFont="1"/>
    <xf numFmtId="166" fontId="3" fillId="0" borderId="0" xfId="0" applyNumberFormat="1" applyFont="1"/>
    <xf numFmtId="0" fontId="12" fillId="0" borderId="2" xfId="0" applyFont="1" applyBorder="1" applyAlignment="1">
      <alignment vertical="center"/>
    </xf>
    <xf numFmtId="2" fontId="3" fillId="0" borderId="0" xfId="0" applyNumberFormat="1" applyFont="1"/>
    <xf numFmtId="9" fontId="3" fillId="0" borderId="0" xfId="0" applyNumberFormat="1" applyFont="1"/>
    <xf numFmtId="168" fontId="3" fillId="0" borderId="0" xfId="0" applyNumberFormat="1" applyFont="1"/>
    <xf numFmtId="0" fontId="3" fillId="18" borderId="0" xfId="0" applyFont="1" applyFill="1"/>
    <xf numFmtId="0" fontId="3" fillId="18" borderId="1" xfId="0" applyFont="1" applyFill="1" applyBorder="1" applyAlignment="1">
      <alignment horizontal="center" vertical="center" wrapText="1"/>
    </xf>
    <xf numFmtId="0" fontId="6" fillId="18" borderId="1" xfId="0" applyFont="1" applyFill="1" applyBorder="1" applyAlignment="1">
      <alignment horizontal="center" vertical="center" wrapText="1"/>
    </xf>
    <xf numFmtId="0" fontId="0" fillId="18" borderId="1" xfId="0" applyFill="1" applyBorder="1" applyAlignment="1">
      <alignment horizontal="center" vertical="center" wrapText="1"/>
    </xf>
    <xf numFmtId="0" fontId="3" fillId="18" borderId="1" xfId="0" applyFont="1" applyFill="1" applyBorder="1" applyAlignment="1">
      <alignment horizontal="center" vertical="center"/>
    </xf>
    <xf numFmtId="0" fontId="3" fillId="18" borderId="2" xfId="0" applyFont="1" applyFill="1" applyBorder="1"/>
    <xf numFmtId="3" fontId="3" fillId="19" borderId="1" xfId="0" applyNumberFormat="1" applyFont="1" applyFill="1" applyBorder="1"/>
    <xf numFmtId="4" fontId="3" fillId="19" borderId="1" xfId="0" applyNumberFormat="1" applyFont="1" applyFill="1" applyBorder="1"/>
    <xf numFmtId="3" fontId="6" fillId="19" borderId="1" xfId="0" applyNumberFormat="1" applyFont="1" applyFill="1" applyBorder="1"/>
    <xf numFmtId="4" fontId="6" fillId="19" borderId="1" xfId="0" applyNumberFormat="1" applyFont="1" applyFill="1" applyBorder="1"/>
    <xf numFmtId="0" fontId="5" fillId="18" borderId="2" xfId="0" applyFont="1" applyFill="1" applyBorder="1"/>
    <xf numFmtId="3" fontId="3" fillId="18" borderId="0" xfId="0" applyNumberFormat="1" applyFont="1" applyFill="1"/>
    <xf numFmtId="3" fontId="3" fillId="0" borderId="0" xfId="0" applyNumberFormat="1" applyFont="1" applyFill="1"/>
    <xf numFmtId="0" fontId="3" fillId="0" borderId="1" xfId="0" applyFont="1" applyFill="1" applyBorder="1"/>
    <xf numFmtId="4" fontId="3" fillId="0" borderId="0" xfId="0" applyNumberFormat="1" applyFont="1" applyFill="1"/>
    <xf numFmtId="9" fontId="3" fillId="0" borderId="0" xfId="0" applyNumberFormat="1" applyFont="1" applyFill="1"/>
    <xf numFmtId="3" fontId="5" fillId="0" borderId="0" xfId="0" applyNumberFormat="1" applyFont="1" applyFill="1" applyBorder="1"/>
    <xf numFmtId="0" fontId="20" fillId="0" borderId="0" xfId="0" applyFont="1" applyFill="1"/>
    <xf numFmtId="164" fontId="3" fillId="0" borderId="0" xfId="0" applyNumberFormat="1" applyFont="1" applyFill="1"/>
    <xf numFmtId="3" fontId="5" fillId="16" borderId="1" xfId="0" applyNumberFormat="1" applyFont="1" applyFill="1" applyBorder="1"/>
    <xf numFmtId="0" fontId="28" fillId="18" borderId="1" xfId="0" applyFont="1" applyFill="1" applyBorder="1"/>
    <xf numFmtId="9" fontId="3" fillId="0" borderId="0" xfId="80" applyFont="1"/>
    <xf numFmtId="10" fontId="3" fillId="0" borderId="0" xfId="80" applyNumberFormat="1" applyFont="1"/>
    <xf numFmtId="9" fontId="0" fillId="0" borderId="0" xfId="0" applyNumberFormat="1"/>
    <xf numFmtId="3" fontId="0" fillId="0" borderId="0" xfId="0" applyNumberFormat="1"/>
    <xf numFmtId="0" fontId="6" fillId="3" borderId="2" xfId="0" applyFont="1" applyFill="1" applyBorder="1"/>
    <xf numFmtId="3" fontId="6" fillId="3" borderId="1" xfId="0" applyNumberFormat="1" applyFont="1" applyFill="1" applyBorder="1"/>
    <xf numFmtId="3" fontId="3" fillId="3" borderId="1" xfId="0" applyNumberFormat="1" applyFont="1" applyFill="1" applyBorder="1"/>
    <xf numFmtId="0" fontId="6" fillId="3" borderId="9" xfId="0" applyFont="1" applyFill="1" applyBorder="1" applyAlignment="1">
      <alignment horizontal="left"/>
    </xf>
    <xf numFmtId="0" fontId="6" fillId="3" borderId="7" xfId="0" applyFont="1" applyFill="1" applyBorder="1" applyAlignment="1">
      <alignment horizontal="left"/>
    </xf>
    <xf numFmtId="10" fontId="14" fillId="22" borderId="1" xfId="0" applyNumberFormat="1" applyFont="1" applyFill="1" applyBorder="1"/>
    <xf numFmtId="10" fontId="14" fillId="23" borderId="1" xfId="0" applyNumberFormat="1" applyFont="1" applyFill="1" applyBorder="1"/>
    <xf numFmtId="10" fontId="14" fillId="24" borderId="1" xfId="0" applyNumberFormat="1" applyFont="1" applyFill="1" applyBorder="1"/>
    <xf numFmtId="0" fontId="14" fillId="25" borderId="1" xfId="0" applyFont="1" applyFill="1" applyBorder="1"/>
    <xf numFmtId="10" fontId="14" fillId="25" borderId="1" xfId="0" applyNumberFormat="1" applyFont="1" applyFill="1" applyBorder="1"/>
    <xf numFmtId="167" fontId="5" fillId="0" borderId="0" xfId="0" applyNumberFormat="1" applyFont="1" applyFill="1" applyBorder="1"/>
    <xf numFmtId="0" fontId="10" fillId="0" borderId="0" xfId="0" applyFont="1" applyFill="1" applyBorder="1"/>
    <xf numFmtId="41" fontId="12" fillId="0" borderId="1" xfId="2" applyNumberFormat="1" applyFont="1" applyFill="1" applyBorder="1" applyAlignment="1">
      <alignment horizontal="center" vertical="center" wrapText="1"/>
    </xf>
    <xf numFmtId="41" fontId="13" fillId="0" borderId="1" xfId="2" applyNumberFormat="1" applyFont="1" applyFill="1" applyBorder="1" applyAlignment="1">
      <alignment horizontal="right"/>
    </xf>
    <xf numFmtId="0" fontId="29" fillId="0" borderId="0" xfId="0" applyFont="1" applyFill="1"/>
    <xf numFmtId="0" fontId="5" fillId="0" borderId="1" xfId="0" applyFont="1" applyFill="1" applyBorder="1" applyAlignment="1">
      <alignment horizontal="center"/>
    </xf>
    <xf numFmtId="169" fontId="31" fillId="0" borderId="12" xfId="0" applyNumberFormat="1" applyFont="1" applyBorder="1" applyAlignment="1">
      <alignment vertical="center"/>
    </xf>
    <xf numFmtId="169" fontId="31" fillId="0" borderId="13" xfId="0" applyNumberFormat="1" applyFont="1" applyBorder="1" applyAlignment="1">
      <alignment vertical="center"/>
    </xf>
    <xf numFmtId="169" fontId="31" fillId="0" borderId="14" xfId="0" applyNumberFormat="1" applyFont="1" applyBorder="1" applyAlignment="1">
      <alignment vertical="center"/>
    </xf>
    <xf numFmtId="169" fontId="31" fillId="0" borderId="12" xfId="0" applyNumberFormat="1" applyFont="1" applyBorder="1" applyAlignment="1">
      <alignment horizontal="right" vertical="center"/>
    </xf>
    <xf numFmtId="169" fontId="31" fillId="0" borderId="13" xfId="0" applyNumberFormat="1" applyFont="1" applyBorder="1" applyAlignment="1">
      <alignment horizontal="right" vertical="center"/>
    </xf>
    <xf numFmtId="169" fontId="31" fillId="0" borderId="14" xfId="0" applyNumberFormat="1" applyFont="1" applyBorder="1" applyAlignment="1">
      <alignment horizontal="right" vertical="center"/>
    </xf>
    <xf numFmtId="3" fontId="3" fillId="18" borderId="1" xfId="0" applyNumberFormat="1" applyFont="1" applyFill="1" applyBorder="1"/>
    <xf numFmtId="169" fontId="31" fillId="0" borderId="11" xfId="0" applyNumberFormat="1" applyFont="1" applyFill="1" applyBorder="1"/>
    <xf numFmtId="169" fontId="31" fillId="0" borderId="12" xfId="0" applyNumberFormat="1" applyFont="1" applyFill="1" applyBorder="1" applyAlignment="1">
      <alignment vertical="center"/>
    </xf>
    <xf numFmtId="169" fontId="31" fillId="0" borderId="13" xfId="0" applyNumberFormat="1" applyFont="1" applyFill="1" applyBorder="1" applyAlignment="1">
      <alignment vertical="center"/>
    </xf>
    <xf numFmtId="169" fontId="31" fillId="0" borderId="14" xfId="0" applyNumberFormat="1" applyFont="1" applyFill="1" applyBorder="1" applyAlignment="1">
      <alignment vertical="center"/>
    </xf>
    <xf numFmtId="169" fontId="31" fillId="0" borderId="12" xfId="0" applyNumberFormat="1" applyFont="1" applyFill="1" applyBorder="1" applyAlignment="1">
      <alignment horizontal="right" vertical="center"/>
    </xf>
    <xf numFmtId="169" fontId="31" fillId="0" borderId="13" xfId="0" applyNumberFormat="1" applyFont="1" applyFill="1" applyBorder="1" applyAlignment="1">
      <alignment horizontal="right" vertical="center"/>
    </xf>
    <xf numFmtId="169" fontId="31" fillId="0" borderId="14" xfId="0" applyNumberFormat="1" applyFont="1" applyFill="1" applyBorder="1" applyAlignment="1">
      <alignment horizontal="right" vertical="center"/>
    </xf>
    <xf numFmtId="169" fontId="31" fillId="0" borderId="11" xfId="0" applyNumberFormat="1" applyFont="1" applyFill="1" applyBorder="1" applyAlignment="1">
      <alignment horizontal="right"/>
    </xf>
    <xf numFmtId="0" fontId="32" fillId="0" borderId="2" xfId="0" applyFont="1" applyFill="1" applyBorder="1"/>
    <xf numFmtId="0" fontId="32" fillId="3" borderId="2" xfId="0" applyFont="1" applyFill="1" applyBorder="1"/>
    <xf numFmtId="3" fontId="16" fillId="0" borderId="7" xfId="2" applyNumberFormat="1" applyFont="1" applyFill="1" applyBorder="1" applyAlignment="1">
      <alignment wrapText="1"/>
    </xf>
    <xf numFmtId="0" fontId="0" fillId="0" borderId="1" xfId="0" applyFill="1" applyBorder="1"/>
    <xf numFmtId="3" fontId="17" fillId="0" borderId="7" xfId="2" applyNumberFormat="1" applyFont="1" applyFill="1" applyBorder="1" applyAlignment="1">
      <alignment wrapText="1"/>
    </xf>
    <xf numFmtId="9" fontId="5" fillId="0" borderId="1" xfId="80" applyFont="1" applyBorder="1"/>
    <xf numFmtId="164" fontId="5" fillId="0" borderId="1" xfId="80" applyNumberFormat="1" applyFont="1" applyBorder="1"/>
    <xf numFmtId="9" fontId="3" fillId="0" borderId="0" xfId="80" applyFont="1" applyFill="1"/>
    <xf numFmtId="41" fontId="5" fillId="0" borderId="1" xfId="0" applyNumberFormat="1" applyFont="1" applyBorder="1"/>
    <xf numFmtId="41" fontId="12" fillId="0" borderId="1" xfId="2" applyNumberFormat="1" applyFont="1" applyFill="1" applyBorder="1" applyAlignment="1">
      <alignment horizontal="right" wrapText="1"/>
    </xf>
    <xf numFmtId="0" fontId="0" fillId="18" borderId="2" xfId="0" applyFill="1" applyBorder="1"/>
    <xf numFmtId="0" fontId="0" fillId="0" borderId="0" xfId="0" applyFill="1"/>
    <xf numFmtId="167" fontId="3" fillId="18" borderId="1" xfId="0" applyNumberFormat="1" applyFont="1" applyFill="1" applyBorder="1"/>
    <xf numFmtId="3" fontId="6" fillId="18" borderId="1" xfId="0" applyNumberFormat="1" applyFont="1" applyFill="1" applyBorder="1"/>
    <xf numFmtId="167" fontId="3" fillId="19" borderId="1" xfId="0" applyNumberFormat="1" applyFont="1" applyFill="1" applyBorder="1"/>
    <xf numFmtId="1" fontId="3" fillId="18" borderId="1" xfId="0" applyNumberFormat="1" applyFont="1" applyFill="1" applyBorder="1"/>
    <xf numFmtId="167" fontId="6" fillId="19" borderId="1" xfId="0" applyNumberFormat="1" applyFont="1" applyFill="1" applyBorder="1"/>
    <xf numFmtId="3" fontId="5" fillId="18" borderId="1" xfId="0" applyNumberFormat="1" applyFont="1" applyFill="1" applyBorder="1"/>
    <xf numFmtId="167" fontId="5" fillId="18" borderId="1" xfId="0" applyNumberFormat="1" applyFont="1" applyFill="1" applyBorder="1"/>
    <xf numFmtId="1" fontId="5" fillId="18" borderId="1" xfId="0" applyNumberFormat="1" applyFont="1" applyFill="1" applyBorder="1"/>
    <xf numFmtId="3" fontId="0" fillId="18" borderId="1" xfId="0" applyNumberFormat="1" applyFont="1" applyFill="1" applyBorder="1" applyAlignment="1">
      <alignment horizontal="center"/>
    </xf>
    <xf numFmtId="171" fontId="3" fillId="0" borderId="0" xfId="81" applyNumberFormat="1" applyFont="1"/>
    <xf numFmtId="3" fontId="30" fillId="18" borderId="1" xfId="0" applyNumberFormat="1" applyFont="1" applyFill="1" applyBorder="1"/>
    <xf numFmtId="3" fontId="33" fillId="18" borderId="1" xfId="0" applyNumberFormat="1" applyFont="1" applyFill="1" applyBorder="1"/>
    <xf numFmtId="3" fontId="33" fillId="19" borderId="1" xfId="0" applyNumberFormat="1" applyFont="1" applyFill="1" applyBorder="1"/>
    <xf numFmtId="170" fontId="3" fillId="0" borderId="5" xfId="2" applyNumberFormat="1" applyFont="1" applyFill="1" applyBorder="1"/>
    <xf numFmtId="170" fontId="3" fillId="0" borderId="1" xfId="2" applyNumberFormat="1" applyFont="1" applyFill="1" applyBorder="1"/>
    <xf numFmtId="170" fontId="5" fillId="0" borderId="1" xfId="2" applyNumberFormat="1" applyFont="1" applyFill="1" applyBorder="1"/>
    <xf numFmtId="170" fontId="5" fillId="0" borderId="5" xfId="2" applyNumberFormat="1" applyFont="1" applyFill="1" applyBorder="1"/>
    <xf numFmtId="0" fontId="3" fillId="0" borderId="1" xfId="0" applyFont="1" applyFill="1" applyBorder="1" applyAlignment="1">
      <alignment horizontal="left"/>
    </xf>
    <xf numFmtId="0" fontId="3" fillId="0" borderId="1" xfId="0" applyFont="1" applyFill="1" applyBorder="1" applyAlignment="1">
      <alignment horizontal="center"/>
    </xf>
    <xf numFmtId="0" fontId="5" fillId="0" borderId="1" xfId="0" applyFont="1" applyFill="1" applyBorder="1" applyAlignment="1">
      <alignment horizontal="left"/>
    </xf>
    <xf numFmtId="0" fontId="0" fillId="0" borderId="1" xfId="0" applyFill="1" applyBorder="1" applyAlignment="1">
      <alignment horizontal="left"/>
    </xf>
    <xf numFmtId="0" fontId="0" fillId="0" borderId="1" xfId="0" applyFill="1" applyBorder="1" applyAlignment="1">
      <alignment horizontal="center"/>
    </xf>
    <xf numFmtId="3" fontId="0" fillId="0" borderId="1" xfId="0" applyNumberFormat="1" applyFill="1" applyBorder="1"/>
    <xf numFmtId="170" fontId="0" fillId="0" borderId="0" xfId="0" applyNumberFormat="1"/>
    <xf numFmtId="170" fontId="3" fillId="0" borderId="0" xfId="0" applyNumberFormat="1" applyFont="1"/>
    <xf numFmtId="3" fontId="19" fillId="0" borderId="0" xfId="0" applyNumberFormat="1" applyFont="1" applyFill="1" applyBorder="1" applyAlignment="1">
      <alignment horizontal="center" vertical="center"/>
    </xf>
    <xf numFmtId="164" fontId="19" fillId="0" borderId="0" xfId="0" applyNumberFormat="1" applyFont="1" applyFill="1" applyBorder="1" applyAlignment="1">
      <alignment horizontal="center" vertical="center"/>
    </xf>
    <xf numFmtId="165" fontId="19" fillId="0" borderId="0" xfId="0" applyNumberFormat="1" applyFont="1" applyFill="1" applyBorder="1" applyAlignment="1">
      <alignment horizontal="center" vertical="center"/>
    </xf>
    <xf numFmtId="43" fontId="3" fillId="0" borderId="0" xfId="2" applyFont="1"/>
    <xf numFmtId="3" fontId="12" fillId="3" borderId="1" xfId="0" applyNumberFormat="1" applyFont="1" applyFill="1" applyBorder="1" applyAlignment="1">
      <alignment horizontal="right" vertical="center"/>
    </xf>
    <xf numFmtId="170" fontId="3" fillId="0" borderId="0" xfId="2" applyNumberFormat="1" applyFont="1"/>
    <xf numFmtId="0" fontId="0" fillId="0" borderId="0" xfId="0" applyFill="1" applyBorder="1"/>
    <xf numFmtId="3" fontId="0" fillId="0" borderId="0" xfId="0" applyNumberFormat="1" applyFont="1" applyFill="1" applyBorder="1"/>
    <xf numFmtId="3" fontId="38" fillId="0" borderId="1" xfId="0" applyNumberFormat="1" applyFont="1" applyBorder="1"/>
    <xf numFmtId="0" fontId="0" fillId="0" borderId="0" xfId="0" applyAlignment="1">
      <alignment vertical="center"/>
    </xf>
    <xf numFmtId="0" fontId="4" fillId="0" borderId="0" xfId="1" applyAlignment="1" applyProtection="1"/>
    <xf numFmtId="0" fontId="5" fillId="0" borderId="1" xfId="0" applyFont="1" applyBorder="1" applyAlignment="1">
      <alignment horizontal="center"/>
    </xf>
    <xf numFmtId="0" fontId="12" fillId="7" borderId="8" xfId="0" applyFont="1" applyFill="1" applyBorder="1" applyAlignment="1">
      <alignment horizontal="center" vertical="center"/>
    </xf>
    <xf numFmtId="0" fontId="12" fillId="7" borderId="4" xfId="0" applyFont="1" applyFill="1" applyBorder="1" applyAlignment="1">
      <alignment horizontal="center" vertical="center"/>
    </xf>
    <xf numFmtId="0" fontId="12" fillId="7" borderId="5"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4" xfId="0" applyFont="1" applyFill="1" applyBorder="1" applyAlignment="1">
      <alignment horizontal="center" vertical="center"/>
    </xf>
    <xf numFmtId="0" fontId="6" fillId="0" borderId="0" xfId="0" applyNumberFormat="1" applyFont="1" applyFill="1" applyAlignment="1">
      <alignment horizontal="left" wrapText="1"/>
    </xf>
    <xf numFmtId="0" fontId="6" fillId="3" borderId="9" xfId="0" applyFont="1" applyFill="1" applyBorder="1" applyAlignment="1">
      <alignment horizontal="left"/>
    </xf>
    <xf numFmtId="0" fontId="12" fillId="7" borderId="8" xfId="0" applyFont="1" applyFill="1" applyBorder="1" applyAlignment="1">
      <alignment horizontal="center" vertical="center"/>
    </xf>
    <xf numFmtId="0" fontId="12" fillId="7" borderId="4" xfId="0" applyFont="1" applyFill="1" applyBorder="1" applyAlignment="1">
      <alignment horizontal="center" vertical="center"/>
    </xf>
    <xf numFmtId="0" fontId="12" fillId="7" borderId="5" xfId="0" applyFont="1" applyFill="1" applyBorder="1" applyAlignment="1">
      <alignment horizontal="center" vertical="center"/>
    </xf>
    <xf numFmtId="0" fontId="12" fillId="8" borderId="8" xfId="0" applyFont="1" applyFill="1" applyBorder="1" applyAlignment="1">
      <alignment horizontal="center" vertical="center"/>
    </xf>
    <xf numFmtId="0" fontId="12" fillId="8" borderId="4" xfId="0" applyFont="1" applyFill="1" applyBorder="1" applyAlignment="1">
      <alignment horizontal="center" vertical="center"/>
    </xf>
    <xf numFmtId="0" fontId="12" fillId="8" borderId="5" xfId="0" applyFont="1" applyFill="1" applyBorder="1" applyAlignment="1">
      <alignment horizontal="center" vertical="center"/>
    </xf>
    <xf numFmtId="0" fontId="40" fillId="0" borderId="1" xfId="0" applyFont="1" applyFill="1" applyBorder="1"/>
    <xf numFmtId="10" fontId="16" fillId="0" borderId="1" xfId="2" applyNumberFormat="1" applyFont="1" applyFill="1" applyBorder="1" applyAlignment="1">
      <alignment wrapText="1"/>
    </xf>
    <xf numFmtId="10" fontId="17" fillId="0" borderId="1" xfId="2" applyNumberFormat="1" applyFont="1" applyFill="1" applyBorder="1" applyAlignment="1">
      <alignment wrapText="1"/>
    </xf>
    <xf numFmtId="172" fontId="12" fillId="0" borderId="1" xfId="2" applyNumberFormat="1" applyFont="1" applyFill="1" applyBorder="1" applyAlignment="1">
      <alignment horizontal="center" vertical="center" wrapText="1"/>
    </xf>
    <xf numFmtId="172" fontId="13" fillId="0" borderId="1" xfId="2" applyNumberFormat="1" applyFont="1" applyFill="1" applyBorder="1" applyAlignment="1">
      <alignment horizontal="right"/>
    </xf>
    <xf numFmtId="169" fontId="31" fillId="0" borderId="11" xfId="0" applyNumberFormat="1" applyFont="1" applyBorder="1" applyAlignment="1">
      <alignment vertical="center"/>
    </xf>
    <xf numFmtId="169" fontId="31" fillId="0" borderId="15" xfId="0" applyNumberFormat="1" applyFont="1" applyBorder="1" applyAlignment="1">
      <alignment vertical="center"/>
    </xf>
    <xf numFmtId="169" fontId="31" fillId="0" borderId="10" xfId="0" applyNumberFormat="1" applyFont="1" applyBorder="1" applyAlignment="1">
      <alignment vertical="center"/>
    </xf>
    <xf numFmtId="169" fontId="31" fillId="0" borderId="11" xfId="0" applyNumberFormat="1" applyFont="1" applyBorder="1" applyAlignment="1">
      <alignment horizontal="right" vertical="center"/>
    </xf>
    <xf numFmtId="169" fontId="31" fillId="0" borderId="15" xfId="0" applyNumberFormat="1" applyFont="1" applyBorder="1" applyAlignment="1">
      <alignment horizontal="right" vertical="center"/>
    </xf>
    <xf numFmtId="169" fontId="31" fillId="0" borderId="10" xfId="0" applyNumberFormat="1" applyFont="1" applyBorder="1" applyAlignment="1">
      <alignment horizontal="right" vertical="center"/>
    </xf>
    <xf numFmtId="169" fontId="31" fillId="0" borderId="11" xfId="0" applyNumberFormat="1" applyFont="1" applyFill="1" applyBorder="1" applyAlignment="1">
      <alignment vertical="center"/>
    </xf>
    <xf numFmtId="169" fontId="31" fillId="0" borderId="15" xfId="0" applyNumberFormat="1" applyFont="1" applyFill="1" applyBorder="1" applyAlignment="1">
      <alignment vertical="center"/>
    </xf>
    <xf numFmtId="169" fontId="31" fillId="0" borderId="10" xfId="0" applyNumberFormat="1" applyFont="1" applyFill="1" applyBorder="1" applyAlignment="1">
      <alignment vertical="center"/>
    </xf>
    <xf numFmtId="3" fontId="3" fillId="0" borderId="11" xfId="0" applyNumberFormat="1" applyFont="1" applyFill="1" applyBorder="1"/>
    <xf numFmtId="3" fontId="3" fillId="0" borderId="15" xfId="0" applyNumberFormat="1" applyFont="1" applyFill="1" applyBorder="1"/>
    <xf numFmtId="3" fontId="3" fillId="0" borderId="10" xfId="0" applyNumberFormat="1" applyFont="1" applyFill="1" applyBorder="1"/>
    <xf numFmtId="0" fontId="0" fillId="0" borderId="16" xfId="0" applyFill="1" applyBorder="1" applyAlignment="1">
      <alignment horizontal="left"/>
    </xf>
    <xf numFmtId="0" fontId="5" fillId="0" borderId="17" xfId="0" applyFont="1"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0" fillId="0" borderId="7" xfId="0" applyBorder="1" applyAlignment="1">
      <alignment horizontal="center"/>
    </xf>
    <xf numFmtId="164" fontId="16" fillId="0" borderId="5" xfId="2" applyNumberFormat="1" applyFont="1" applyFill="1" applyBorder="1" applyAlignment="1">
      <alignment wrapText="1"/>
    </xf>
    <xf numFmtId="0" fontId="0" fillId="0" borderId="18" xfId="0" applyBorder="1" applyAlignment="1">
      <alignment horizontal="center"/>
    </xf>
    <xf numFmtId="0" fontId="0" fillId="0" borderId="19" xfId="0" applyBorder="1" applyAlignment="1">
      <alignment horizontal="center"/>
    </xf>
    <xf numFmtId="0" fontId="0" fillId="0" borderId="6" xfId="0" applyBorder="1" applyAlignment="1">
      <alignment horizontal="center"/>
    </xf>
    <xf numFmtId="0" fontId="0" fillId="0" borderId="1" xfId="0" applyBorder="1" applyAlignment="1">
      <alignment horizontal="center"/>
    </xf>
    <xf numFmtId="0" fontId="5" fillId="0" borderId="0" xfId="0" applyFont="1" applyAlignment="1">
      <alignment horizontal="right"/>
    </xf>
    <xf numFmtId="170" fontId="16" fillId="0" borderId="1" xfId="2" applyNumberFormat="1" applyFont="1" applyFill="1" applyBorder="1" applyAlignment="1">
      <alignment wrapText="1"/>
    </xf>
    <xf numFmtId="170" fontId="13" fillId="0" borderId="1" xfId="2" applyNumberFormat="1" applyFont="1" applyFill="1" applyBorder="1" applyAlignment="1"/>
    <xf numFmtId="170" fontId="5" fillId="0" borderId="1" xfId="2" applyNumberFormat="1" applyFont="1" applyBorder="1"/>
    <xf numFmtId="3" fontId="0" fillId="0" borderId="0" xfId="0" applyNumberFormat="1" applyFont="1"/>
    <xf numFmtId="3" fontId="5" fillId="20" borderId="5" xfId="0" applyNumberFormat="1" applyFont="1" applyFill="1" applyBorder="1"/>
    <xf numFmtId="3" fontId="5" fillId="22" borderId="5" xfId="0" applyNumberFormat="1" applyFont="1" applyFill="1" applyBorder="1"/>
    <xf numFmtId="0" fontId="42" fillId="0" borderId="0" xfId="0" applyFont="1"/>
    <xf numFmtId="0" fontId="6" fillId="0" borderId="0" xfId="0" applyFont="1" applyFill="1"/>
    <xf numFmtId="0" fontId="14" fillId="23" borderId="1" xfId="0" applyNumberFormat="1" applyFont="1" applyFill="1" applyBorder="1"/>
    <xf numFmtId="0" fontId="14" fillId="22" borderId="1" xfId="0" applyNumberFormat="1" applyFont="1" applyFill="1" applyBorder="1"/>
    <xf numFmtId="0" fontId="14" fillId="24" borderId="1" xfId="0" applyNumberFormat="1" applyFont="1" applyFill="1" applyBorder="1"/>
    <xf numFmtId="164" fontId="5" fillId="0" borderId="1" xfId="0" applyNumberFormat="1" applyFont="1" applyFill="1" applyBorder="1"/>
    <xf numFmtId="164" fontId="3" fillId="0" borderId="1" xfId="0" applyNumberFormat="1" applyFont="1" applyFill="1" applyBorder="1"/>
    <xf numFmtId="164" fontId="3" fillId="0" borderId="0" xfId="80" applyNumberFormat="1" applyFont="1" applyFill="1"/>
    <xf numFmtId="10" fontId="3" fillId="0" borderId="0" xfId="80" applyNumberFormat="1" applyFont="1" applyFill="1"/>
    <xf numFmtId="0" fontId="3" fillId="0" borderId="0" xfId="80" applyNumberFormat="1" applyFont="1" applyFill="1"/>
    <xf numFmtId="0" fontId="3" fillId="0" borderId="0" xfId="0" applyNumberFormat="1" applyFont="1" applyFill="1"/>
    <xf numFmtId="164" fontId="3" fillId="0" borderId="0" xfId="80" applyNumberFormat="1" applyFont="1"/>
    <xf numFmtId="3" fontId="5" fillId="18" borderId="2" xfId="0" applyNumberFormat="1" applyFont="1" applyFill="1" applyBorder="1"/>
    <xf numFmtId="3" fontId="5" fillId="18" borderId="7" xfId="0" applyNumberFormat="1" applyFont="1" applyFill="1" applyBorder="1"/>
    <xf numFmtId="167" fontId="5" fillId="18" borderId="7" xfId="0" applyNumberFormat="1" applyFont="1" applyFill="1" applyBorder="1"/>
    <xf numFmtId="1" fontId="5" fillId="18" borderId="9" xfId="0" applyNumberFormat="1" applyFont="1" applyFill="1" applyBorder="1"/>
    <xf numFmtId="0" fontId="0" fillId="18" borderId="2" xfId="0" applyFont="1" applyFill="1" applyBorder="1"/>
    <xf numFmtId="3" fontId="0" fillId="18" borderId="7" xfId="0" applyNumberFormat="1" applyFont="1" applyFill="1" applyBorder="1"/>
    <xf numFmtId="3" fontId="0" fillId="18" borderId="9" xfId="0" applyNumberFormat="1" applyFont="1" applyFill="1" applyBorder="1"/>
    <xf numFmtId="0" fontId="44" fillId="24" borderId="20" xfId="0" applyFont="1" applyFill="1" applyBorder="1"/>
    <xf numFmtId="3" fontId="6" fillId="24" borderId="20" xfId="0" applyNumberFormat="1" applyFont="1" applyFill="1" applyBorder="1"/>
    <xf numFmtId="3" fontId="6" fillId="28" borderId="20" xfId="0" applyNumberFormat="1" applyFont="1" applyFill="1" applyBorder="1"/>
    <xf numFmtId="3" fontId="12" fillId="0" borderId="4" xfId="0" applyNumberFormat="1" applyFont="1" applyFill="1" applyBorder="1" applyAlignment="1">
      <alignment horizontal="center" vertical="center"/>
    </xf>
    <xf numFmtId="3" fontId="12" fillId="0" borderId="5" xfId="0" applyNumberFormat="1" applyFont="1" applyFill="1" applyBorder="1" applyAlignment="1">
      <alignment horizontal="center" vertical="center"/>
    </xf>
    <xf numFmtId="0" fontId="12" fillId="3" borderId="8"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4" xfId="0" applyFont="1" applyFill="1" applyBorder="1" applyAlignment="1">
      <alignment horizontal="center" vertical="center"/>
    </xf>
    <xf numFmtId="173" fontId="45" fillId="0" borderId="1" xfId="2" applyNumberFormat="1" applyFont="1" applyBorder="1" applyAlignment="1">
      <alignment horizontal="center" vertical="center" wrapText="1"/>
    </xf>
    <xf numFmtId="0" fontId="5" fillId="0" borderId="0" xfId="0" applyFont="1" applyBorder="1" applyAlignment="1">
      <alignment horizontal="right"/>
    </xf>
    <xf numFmtId="170" fontId="5" fillId="0" borderId="0" xfId="2" applyNumberFormat="1" applyFont="1" applyBorder="1"/>
    <xf numFmtId="164" fontId="17" fillId="0" borderId="1" xfId="2" applyNumberFormat="1" applyFont="1" applyFill="1" applyBorder="1" applyAlignment="1">
      <alignment wrapText="1"/>
    </xf>
    <xf numFmtId="0" fontId="3" fillId="0" borderId="8" xfId="0" applyFont="1" applyBorder="1"/>
    <xf numFmtId="43" fontId="3" fillId="0" borderId="0" xfId="80" applyNumberFormat="1" applyFont="1"/>
    <xf numFmtId="173" fontId="12" fillId="0" borderId="1" xfId="2" applyNumberFormat="1" applyFont="1" applyBorder="1" applyAlignment="1">
      <alignment horizontal="center" vertical="center" wrapText="1"/>
    </xf>
    <xf numFmtId="0" fontId="46" fillId="0" borderId="0" xfId="0" applyFont="1"/>
    <xf numFmtId="0" fontId="23" fillId="23" borderId="0" xfId="0" applyFont="1" applyFill="1"/>
    <xf numFmtId="0" fontId="22" fillId="23" borderId="0" xfId="0" applyFont="1" applyFill="1"/>
    <xf numFmtId="0" fontId="47" fillId="24" borderId="20" xfId="0" applyFont="1" applyFill="1" applyBorder="1"/>
    <xf numFmtId="0" fontId="48" fillId="25" borderId="20" xfId="0" applyFont="1" applyFill="1" applyBorder="1"/>
    <xf numFmtId="0" fontId="47" fillId="25" borderId="20" xfId="0" applyFont="1" applyFill="1" applyBorder="1" applyAlignment="1">
      <alignment horizontal="center" vertical="center"/>
    </xf>
    <xf numFmtId="0" fontId="47" fillId="25" borderId="20" xfId="0" applyFont="1" applyFill="1" applyBorder="1" applyAlignment="1">
      <alignment horizontal="center" vertical="center" wrapText="1"/>
    </xf>
    <xf numFmtId="3" fontId="47" fillId="24" borderId="20" xfId="0" applyNumberFormat="1" applyFont="1" applyFill="1" applyBorder="1"/>
    <xf numFmtId="3" fontId="48" fillId="25" borderId="20" xfId="0" applyNumberFormat="1" applyFont="1" applyFill="1" applyBorder="1"/>
    <xf numFmtId="3" fontId="47" fillId="28" borderId="20" xfId="0" applyNumberFormat="1" applyFont="1" applyFill="1" applyBorder="1"/>
    <xf numFmtId="3" fontId="48" fillId="18" borderId="20" xfId="0" applyNumberFormat="1" applyFont="1" applyFill="1" applyBorder="1"/>
    <xf numFmtId="0" fontId="47" fillId="25" borderId="20" xfId="0" applyFont="1" applyFill="1" applyBorder="1"/>
    <xf numFmtId="164" fontId="12" fillId="0" borderId="0" xfId="80" applyNumberFormat="1" applyFont="1"/>
    <xf numFmtId="173" fontId="3" fillId="0" borderId="0" xfId="0" applyNumberFormat="1" applyFont="1"/>
    <xf numFmtId="41" fontId="3" fillId="0" borderId="0" xfId="0" applyNumberFormat="1" applyFont="1"/>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5" fillId="0" borderId="21" xfId="0" applyFont="1" applyBorder="1" applyAlignment="1">
      <alignment horizontal="right"/>
    </xf>
    <xf numFmtId="170" fontId="5" fillId="0" borderId="22" xfId="2" applyNumberFormat="1" applyFont="1" applyBorder="1"/>
    <xf numFmtId="170" fontId="5" fillId="0" borderId="23" xfId="2" applyNumberFormat="1" applyFont="1" applyBorder="1"/>
    <xf numFmtId="0" fontId="5" fillId="0" borderId="0" xfId="0" applyFont="1" applyBorder="1"/>
    <xf numFmtId="0" fontId="0" fillId="0" borderId="0" xfId="0" applyBorder="1" applyAlignment="1">
      <alignment horizontal="center" vertical="center" wrapText="1"/>
    </xf>
    <xf numFmtId="0" fontId="0" fillId="0" borderId="0" xfId="0" applyBorder="1"/>
    <xf numFmtId="170" fontId="3" fillId="0" borderId="0" xfId="2" applyNumberFormat="1" applyFont="1" applyBorder="1"/>
    <xf numFmtId="0" fontId="3" fillId="0" borderId="24" xfId="0" applyFont="1" applyFill="1" applyBorder="1"/>
    <xf numFmtId="0" fontId="3" fillId="0" borderId="25" xfId="0" applyFont="1" applyFill="1" applyBorder="1"/>
    <xf numFmtId="0" fontId="3" fillId="0" borderId="26" xfId="0" applyFont="1" applyFill="1" applyBorder="1"/>
    <xf numFmtId="0" fontId="3" fillId="0" borderId="27" xfId="0" applyFont="1" applyFill="1" applyBorder="1"/>
    <xf numFmtId="170" fontId="3" fillId="0" borderId="0" xfId="2" applyNumberFormat="1" applyFont="1" applyFill="1" applyBorder="1"/>
    <xf numFmtId="170" fontId="3" fillId="0" borderId="28" xfId="0" applyNumberFormat="1" applyFont="1" applyFill="1" applyBorder="1"/>
    <xf numFmtId="0" fontId="3" fillId="0" borderId="29" xfId="0" applyFont="1" applyFill="1" applyBorder="1"/>
    <xf numFmtId="170" fontId="3" fillId="0" borderId="30" xfId="2" applyNumberFormat="1" applyFont="1" applyFill="1" applyBorder="1"/>
    <xf numFmtId="170" fontId="3" fillId="0" borderId="31" xfId="0" applyNumberFormat="1" applyFont="1" applyFill="1" applyBorder="1"/>
    <xf numFmtId="0" fontId="3" fillId="0" borderId="28" xfId="0" applyFont="1" applyFill="1" applyBorder="1"/>
    <xf numFmtId="0" fontId="3" fillId="0" borderId="31" xfId="0" applyFont="1" applyFill="1" applyBorder="1"/>
    <xf numFmtId="0" fontId="0" fillId="0" borderId="25" xfId="0" applyFill="1" applyBorder="1"/>
    <xf numFmtId="0" fontId="0" fillId="0" borderId="26" xfId="0" applyFill="1" applyBorder="1"/>
    <xf numFmtId="0" fontId="5" fillId="16" borderId="2" xfId="0" applyFont="1" applyFill="1" applyBorder="1" applyAlignment="1">
      <alignment horizontal="center" vertical="center"/>
    </xf>
    <xf numFmtId="0" fontId="5" fillId="16" borderId="7" xfId="0" applyFont="1" applyFill="1" applyBorder="1" applyAlignment="1">
      <alignment horizontal="center" vertical="center"/>
    </xf>
    <xf numFmtId="0" fontId="3" fillId="16" borderId="8"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5" fillId="27" borderId="8" xfId="0" applyFont="1" applyFill="1" applyBorder="1" applyAlignment="1">
      <alignment horizontal="center" vertical="center" wrapText="1"/>
    </xf>
    <xf numFmtId="0" fontId="5" fillId="27" borderId="4" xfId="0" applyFont="1" applyFill="1" applyBorder="1" applyAlignment="1">
      <alignment horizontal="center" vertical="center" wrapText="1"/>
    </xf>
    <xf numFmtId="0" fontId="3" fillId="17" borderId="1" xfId="0" applyFont="1" applyFill="1" applyBorder="1" applyAlignment="1">
      <alignment horizontal="center" vertical="center" wrapText="1"/>
    </xf>
    <xf numFmtId="0" fontId="0" fillId="17" borderId="1" xfId="0" applyFill="1" applyBorder="1" applyAlignment="1">
      <alignment horizontal="center" vertical="center" wrapText="1"/>
    </xf>
    <xf numFmtId="0" fontId="5" fillId="17" borderId="1" xfId="0" applyFont="1" applyFill="1" applyBorder="1" applyAlignment="1">
      <alignment horizontal="center" vertical="center"/>
    </xf>
    <xf numFmtId="0" fontId="5" fillId="26" borderId="1" xfId="0" applyFont="1" applyFill="1" applyBorder="1" applyAlignment="1">
      <alignment horizontal="center" vertical="center"/>
    </xf>
    <xf numFmtId="0" fontId="3" fillId="26" borderId="8" xfId="0" applyFont="1" applyFill="1" applyBorder="1" applyAlignment="1">
      <alignment horizontal="center" vertical="center" wrapText="1"/>
    </xf>
    <xf numFmtId="0" fontId="3" fillId="26" borderId="4" xfId="0" applyFont="1" applyFill="1" applyBorder="1" applyAlignment="1">
      <alignment horizontal="center" vertical="center" wrapText="1"/>
    </xf>
    <xf numFmtId="0" fontId="5" fillId="13" borderId="2" xfId="0" applyFont="1" applyFill="1" applyBorder="1" applyAlignment="1">
      <alignment horizontal="center" vertical="center"/>
    </xf>
    <xf numFmtId="0" fontId="5" fillId="13" borderId="7" xfId="0" applyFont="1" applyFill="1" applyBorder="1" applyAlignment="1">
      <alignment horizontal="center" vertical="center"/>
    </xf>
    <xf numFmtId="0" fontId="3" fillId="13" borderId="8" xfId="0" applyFont="1" applyFill="1" applyBorder="1" applyAlignment="1">
      <alignment horizontal="center" vertical="center"/>
    </xf>
    <xf numFmtId="0" fontId="3" fillId="13" borderId="4" xfId="0" applyFont="1" applyFill="1" applyBorder="1" applyAlignment="1">
      <alignment horizontal="center" vertical="center"/>
    </xf>
    <xf numFmtId="0" fontId="3" fillId="13" borderId="8" xfId="0" applyFont="1" applyFill="1" applyBorder="1" applyAlignment="1">
      <alignment horizontal="center" vertical="center" wrapText="1"/>
    </xf>
    <xf numFmtId="0" fontId="3" fillId="13" borderId="5" xfId="0" applyFont="1" applyFill="1" applyBorder="1" applyAlignment="1">
      <alignment horizontal="center" vertical="center" wrapText="1"/>
    </xf>
    <xf numFmtId="0" fontId="5" fillId="14" borderId="1" xfId="0" applyFont="1" applyFill="1" applyBorder="1" applyAlignment="1">
      <alignment horizontal="center" vertical="center"/>
    </xf>
    <xf numFmtId="0" fontId="3" fillId="14" borderId="8"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5" fillId="15" borderId="2" xfId="0" applyFont="1" applyFill="1" applyBorder="1" applyAlignment="1">
      <alignment horizontal="center" vertical="center"/>
    </xf>
    <xf numFmtId="0" fontId="5" fillId="15" borderId="7" xfId="0" applyFont="1" applyFill="1" applyBorder="1" applyAlignment="1">
      <alignment horizontal="center" vertical="center"/>
    </xf>
    <xf numFmtId="0" fontId="3" fillId="15" borderId="8"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5" fillId="12" borderId="2" xfId="0" applyFont="1" applyFill="1" applyBorder="1" applyAlignment="1">
      <alignment horizontal="center" vertical="center"/>
    </xf>
    <xf numFmtId="0" fontId="5" fillId="12" borderId="9" xfId="0" applyFont="1" applyFill="1" applyBorder="1" applyAlignment="1">
      <alignment horizontal="center" vertical="center"/>
    </xf>
    <xf numFmtId="0" fontId="5" fillId="12" borderId="7" xfId="0" applyFont="1" applyFill="1" applyBorder="1" applyAlignment="1">
      <alignment horizontal="center" vertical="center"/>
    </xf>
    <xf numFmtId="0" fontId="3" fillId="12" borderId="8" xfId="0" applyFont="1" applyFill="1" applyBorder="1" applyAlignment="1">
      <alignment horizontal="center" vertical="center"/>
    </xf>
    <xf numFmtId="0" fontId="3" fillId="12" borderId="5" xfId="0" applyFont="1" applyFill="1" applyBorder="1" applyAlignment="1">
      <alignment horizontal="center" vertical="center"/>
    </xf>
    <xf numFmtId="0" fontId="3" fillId="12" borderId="2" xfId="0" applyFont="1" applyFill="1" applyBorder="1" applyAlignment="1">
      <alignment horizontal="center" vertical="center"/>
    </xf>
    <xf numFmtId="0" fontId="3" fillId="12" borderId="9" xfId="0" applyFont="1" applyFill="1" applyBorder="1" applyAlignment="1">
      <alignment horizontal="center" vertical="center"/>
    </xf>
    <xf numFmtId="0" fontId="3" fillId="12" borderId="7" xfId="0" applyFont="1" applyFill="1" applyBorder="1" applyAlignment="1">
      <alignment horizontal="center" vertical="center"/>
    </xf>
    <xf numFmtId="0" fontId="5" fillId="10" borderId="2" xfId="0" applyFont="1" applyFill="1" applyBorder="1" applyAlignment="1">
      <alignment horizontal="center" vertical="center"/>
    </xf>
    <xf numFmtId="0" fontId="5" fillId="10" borderId="9" xfId="0" applyFont="1" applyFill="1" applyBorder="1" applyAlignment="1">
      <alignment horizontal="center" vertical="center"/>
    </xf>
    <xf numFmtId="0" fontId="5" fillId="10" borderId="7" xfId="0" applyFont="1" applyFill="1" applyBorder="1" applyAlignment="1">
      <alignment horizontal="center" vertical="center"/>
    </xf>
    <xf numFmtId="0" fontId="3" fillId="10" borderId="2" xfId="0" applyFont="1" applyFill="1" applyBorder="1" applyAlignment="1">
      <alignment horizontal="center" vertical="center"/>
    </xf>
    <xf numFmtId="0" fontId="3" fillId="10" borderId="9" xfId="0" applyFont="1" applyFill="1" applyBorder="1" applyAlignment="1">
      <alignment horizontal="center" vertical="center"/>
    </xf>
    <xf numFmtId="0" fontId="3" fillId="10" borderId="7" xfId="0" applyFont="1" applyFill="1" applyBorder="1" applyAlignment="1">
      <alignment horizontal="center" vertical="center"/>
    </xf>
    <xf numFmtId="0" fontId="3" fillId="12" borderId="8" xfId="0" applyFont="1" applyFill="1" applyBorder="1" applyAlignment="1">
      <alignment horizontal="center" vertical="center" wrapText="1"/>
    </xf>
    <xf numFmtId="0" fontId="3" fillId="12" borderId="5" xfId="0" applyFont="1" applyFill="1" applyBorder="1" applyAlignment="1">
      <alignment horizontal="center" vertical="center" wrapText="1"/>
    </xf>
    <xf numFmtId="0" fontId="5" fillId="9" borderId="2" xfId="0" applyFont="1" applyFill="1" applyBorder="1" applyAlignment="1">
      <alignment horizontal="center" vertical="center"/>
    </xf>
    <xf numFmtId="0" fontId="5" fillId="9" borderId="9" xfId="0" applyFont="1" applyFill="1" applyBorder="1" applyAlignment="1">
      <alignment horizontal="center" vertical="center"/>
    </xf>
    <xf numFmtId="0" fontId="5" fillId="9" borderId="7" xfId="0" applyFont="1" applyFill="1" applyBorder="1" applyAlignment="1">
      <alignment horizontal="center" vertical="center"/>
    </xf>
    <xf numFmtId="0" fontId="5" fillId="11" borderId="2" xfId="0" applyFont="1" applyFill="1" applyBorder="1" applyAlignment="1">
      <alignment horizontal="center" vertical="center"/>
    </xf>
    <xf numFmtId="0" fontId="5" fillId="11" borderId="9" xfId="0" applyFont="1" applyFill="1" applyBorder="1" applyAlignment="1">
      <alignment horizontal="center" vertical="center"/>
    </xf>
    <xf numFmtId="0" fontId="5" fillId="11" borderId="7" xfId="0" applyFont="1" applyFill="1" applyBorder="1" applyAlignment="1">
      <alignment horizontal="center" vertical="center"/>
    </xf>
    <xf numFmtId="0" fontId="3" fillId="9" borderId="8" xfId="0" applyFont="1" applyFill="1" applyBorder="1" applyAlignment="1">
      <alignment horizontal="center" vertical="center"/>
    </xf>
    <xf numFmtId="0" fontId="3" fillId="9" borderId="5" xfId="0" applyFont="1" applyFill="1" applyBorder="1" applyAlignment="1">
      <alignment horizontal="center" vertical="center"/>
    </xf>
    <xf numFmtId="0" fontId="3" fillId="9" borderId="8"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9" borderId="2" xfId="0" applyFont="1" applyFill="1" applyBorder="1" applyAlignment="1">
      <alignment horizontal="center" vertical="center"/>
    </xf>
    <xf numFmtId="0" fontId="3" fillId="9" borderId="9" xfId="0" applyFont="1" applyFill="1" applyBorder="1" applyAlignment="1">
      <alignment horizontal="center" vertical="center"/>
    </xf>
    <xf numFmtId="0" fontId="3" fillId="9" borderId="7" xfId="0" applyFont="1" applyFill="1" applyBorder="1" applyAlignment="1">
      <alignment horizontal="center" vertical="center"/>
    </xf>
    <xf numFmtId="0" fontId="3" fillId="10" borderId="8" xfId="0" applyFont="1" applyFill="1" applyBorder="1" applyAlignment="1">
      <alignment horizontal="center" vertical="center"/>
    </xf>
    <xf numFmtId="0" fontId="3" fillId="10" borderId="5" xfId="0" applyFont="1" applyFill="1" applyBorder="1" applyAlignment="1">
      <alignment horizontal="center" vertical="center"/>
    </xf>
    <xf numFmtId="0" fontId="3" fillId="11" borderId="8" xfId="0" applyFont="1" applyFill="1" applyBorder="1" applyAlignment="1">
      <alignment horizontal="center" vertical="center"/>
    </xf>
    <xf numFmtId="0" fontId="3" fillId="11" borderId="5" xfId="0" applyFont="1" applyFill="1" applyBorder="1" applyAlignment="1">
      <alignment horizontal="center" vertical="center"/>
    </xf>
    <xf numFmtId="0" fontId="3" fillId="11" borderId="2" xfId="0" applyFont="1" applyFill="1" applyBorder="1" applyAlignment="1">
      <alignment horizontal="center" vertical="center"/>
    </xf>
    <xf numFmtId="0" fontId="3" fillId="11" borderId="9" xfId="0" applyFont="1" applyFill="1" applyBorder="1" applyAlignment="1">
      <alignment horizontal="center" vertical="center"/>
    </xf>
    <xf numFmtId="0" fontId="3" fillId="11" borderId="7" xfId="0" applyFont="1" applyFill="1" applyBorder="1" applyAlignment="1">
      <alignment horizontal="center" vertical="center"/>
    </xf>
    <xf numFmtId="0" fontId="47" fillId="25" borderId="20" xfId="0" applyFont="1" applyFill="1" applyBorder="1" applyAlignment="1">
      <alignment horizontal="center" vertical="center"/>
    </xf>
    <xf numFmtId="3" fontId="47" fillId="25" borderId="20" xfId="0" applyNumberFormat="1" applyFont="1" applyFill="1" applyBorder="1" applyAlignment="1">
      <alignment horizontal="center"/>
    </xf>
    <xf numFmtId="0" fontId="46" fillId="25" borderId="20" xfId="0" applyFont="1" applyFill="1" applyBorder="1" applyAlignment="1">
      <alignment horizontal="center" vertical="center"/>
    </xf>
    <xf numFmtId="0" fontId="48" fillId="25" borderId="20" xfId="0" applyFont="1" applyFill="1" applyBorder="1" applyAlignment="1">
      <alignment horizontal="center" vertical="center"/>
    </xf>
    <xf numFmtId="0" fontId="5" fillId="18" borderId="2" xfId="0" applyFont="1" applyFill="1" applyBorder="1" applyAlignment="1">
      <alignment horizontal="center"/>
    </xf>
    <xf numFmtId="0" fontId="5" fillId="18" borderId="9" xfId="0" applyFont="1" applyFill="1" applyBorder="1" applyAlignment="1">
      <alignment horizontal="center"/>
    </xf>
    <xf numFmtId="0" fontId="5" fillId="18" borderId="7" xfId="0" applyFont="1" applyFill="1" applyBorder="1" applyAlignment="1">
      <alignment horizontal="center"/>
    </xf>
    <xf numFmtId="3" fontId="5" fillId="18" borderId="2" xfId="0" applyNumberFormat="1" applyFont="1" applyFill="1" applyBorder="1" applyAlignment="1">
      <alignment horizontal="center"/>
    </xf>
    <xf numFmtId="3" fontId="5" fillId="18" borderId="7" xfId="0" applyNumberFormat="1" applyFont="1" applyFill="1" applyBorder="1" applyAlignment="1">
      <alignment horizontal="center"/>
    </xf>
    <xf numFmtId="3" fontId="6" fillId="18" borderId="2" xfId="0" applyNumberFormat="1" applyFont="1" applyFill="1" applyBorder="1" applyAlignment="1">
      <alignment horizontal="center"/>
    </xf>
    <xf numFmtId="3" fontId="6" fillId="18" borderId="7" xfId="0" applyNumberFormat="1" applyFont="1" applyFill="1" applyBorder="1" applyAlignment="1">
      <alignment horizontal="center"/>
    </xf>
    <xf numFmtId="3" fontId="5" fillId="18" borderId="9" xfId="0" applyNumberFormat="1" applyFont="1" applyFill="1" applyBorder="1" applyAlignment="1">
      <alignment horizontal="center"/>
    </xf>
    <xf numFmtId="0" fontId="5" fillId="18" borderId="1" xfId="0" applyFont="1" applyFill="1" applyBorder="1" applyAlignment="1">
      <alignment horizontal="center"/>
    </xf>
    <xf numFmtId="0" fontId="6" fillId="18" borderId="1" xfId="0" applyFont="1" applyFill="1" applyBorder="1" applyAlignment="1">
      <alignment horizontal="center"/>
    </xf>
    <xf numFmtId="0" fontId="6" fillId="18" borderId="2" xfId="0" applyFont="1" applyFill="1" applyBorder="1" applyAlignment="1">
      <alignment horizontal="center"/>
    </xf>
    <xf numFmtId="0" fontId="6" fillId="18" borderId="7" xfId="0" applyFont="1" applyFill="1" applyBorder="1" applyAlignment="1">
      <alignment horizontal="center"/>
    </xf>
    <xf numFmtId="0" fontId="5" fillId="4" borderId="8" xfId="0" applyFont="1" applyFill="1" applyBorder="1" applyAlignment="1">
      <alignment horizontal="center"/>
    </xf>
    <xf numFmtId="0" fontId="5" fillId="0" borderId="2" xfId="0" applyFont="1" applyBorder="1" applyAlignment="1">
      <alignment horizontal="center"/>
    </xf>
    <xf numFmtId="0" fontId="5" fillId="0" borderId="7"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165" fontId="19" fillId="0" borderId="1" xfId="0" applyNumberFormat="1" applyFont="1" applyFill="1" applyBorder="1" applyAlignment="1">
      <alignment horizontal="center" vertical="center"/>
    </xf>
    <xf numFmtId="0" fontId="12" fillId="6" borderId="8" xfId="0" applyFont="1" applyFill="1" applyBorder="1" applyAlignment="1">
      <alignment horizontal="center" vertical="center"/>
    </xf>
    <xf numFmtId="0" fontId="12" fillId="6" borderId="4" xfId="0" applyFont="1" applyFill="1" applyBorder="1" applyAlignment="1">
      <alignment horizontal="center" vertical="center"/>
    </xf>
    <xf numFmtId="0" fontId="13" fillId="5" borderId="1" xfId="0" applyFont="1" applyFill="1" applyBorder="1" applyAlignment="1">
      <alignment horizontal="center"/>
    </xf>
    <xf numFmtId="0" fontId="12" fillId="4" borderId="8" xfId="0" applyFont="1" applyFill="1" applyBorder="1" applyAlignment="1">
      <alignment horizontal="left" vertical="center"/>
    </xf>
    <xf numFmtId="0" fontId="12" fillId="4" borderId="5" xfId="0" applyFont="1" applyFill="1" applyBorder="1" applyAlignment="1">
      <alignment horizontal="left" vertical="center"/>
    </xf>
    <xf numFmtId="0" fontId="12" fillId="4" borderId="8"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12" fillId="4" borderId="2"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8"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3" borderId="1" xfId="0" applyFont="1" applyFill="1" applyBorder="1" applyAlignment="1">
      <alignment horizontal="left" vertical="center"/>
    </xf>
    <xf numFmtId="3" fontId="19" fillId="0" borderId="8" xfId="0" applyNumberFormat="1" applyFont="1" applyFill="1" applyBorder="1" applyAlignment="1">
      <alignment horizontal="center" vertical="center"/>
    </xf>
    <xf numFmtId="3" fontId="19" fillId="0" borderId="4" xfId="0" applyNumberFormat="1" applyFont="1" applyFill="1" applyBorder="1" applyAlignment="1">
      <alignment horizontal="center" vertical="center"/>
    </xf>
    <xf numFmtId="164" fontId="19" fillId="0" borderId="8" xfId="0" applyNumberFormat="1" applyFont="1" applyFill="1" applyBorder="1" applyAlignment="1">
      <alignment horizontal="center" vertical="center"/>
    </xf>
    <xf numFmtId="164" fontId="19" fillId="0" borderId="4" xfId="0" applyNumberFormat="1" applyFont="1" applyFill="1" applyBorder="1" applyAlignment="1">
      <alignment horizontal="center" vertical="center"/>
    </xf>
    <xf numFmtId="0" fontId="12" fillId="4" borderId="1" xfId="0" applyFont="1" applyFill="1" applyBorder="1" applyAlignment="1">
      <alignment horizontal="left" vertical="center"/>
    </xf>
    <xf numFmtId="3" fontId="19" fillId="0" borderId="1" xfId="0" applyNumberFormat="1" applyFont="1" applyFill="1" applyBorder="1" applyAlignment="1">
      <alignment horizontal="center" vertical="center"/>
    </xf>
    <xf numFmtId="164" fontId="19" fillId="0" borderId="5" xfId="0" applyNumberFormat="1" applyFont="1" applyFill="1" applyBorder="1" applyAlignment="1">
      <alignment horizontal="center" vertical="center"/>
    </xf>
    <xf numFmtId="3" fontId="19" fillId="0" borderId="5" xfId="0" applyNumberFormat="1" applyFont="1" applyFill="1" applyBorder="1" applyAlignment="1">
      <alignment horizontal="center" vertical="center"/>
    </xf>
    <xf numFmtId="0" fontId="12" fillId="7" borderId="8" xfId="0" applyFont="1" applyFill="1" applyBorder="1" applyAlignment="1">
      <alignment horizontal="center" vertical="center"/>
    </xf>
    <xf numFmtId="0" fontId="12" fillId="7" borderId="4" xfId="0" applyFont="1" applyFill="1" applyBorder="1" applyAlignment="1">
      <alignment horizontal="center" vertical="center"/>
    </xf>
    <xf numFmtId="0" fontId="12" fillId="7" borderId="5" xfId="0" applyFont="1" applyFill="1" applyBorder="1" applyAlignment="1">
      <alignment horizontal="center" vertical="center"/>
    </xf>
    <xf numFmtId="164" fontId="19" fillId="0" borderId="1" xfId="0" applyNumberFormat="1" applyFont="1" applyFill="1" applyBorder="1" applyAlignment="1">
      <alignment horizontal="center" vertical="center"/>
    </xf>
    <xf numFmtId="0" fontId="13" fillId="5" borderId="2" xfId="0" applyFont="1" applyFill="1" applyBorder="1" applyAlignment="1">
      <alignment horizontal="center"/>
    </xf>
    <xf numFmtId="0" fontId="13" fillId="5" borderId="9" xfId="0" applyFont="1" applyFill="1" applyBorder="1" applyAlignment="1">
      <alignment horizontal="center"/>
    </xf>
    <xf numFmtId="0" fontId="13" fillId="5" borderId="7" xfId="0" applyFont="1" applyFill="1" applyBorder="1" applyAlignment="1">
      <alignment horizontal="center"/>
    </xf>
    <xf numFmtId="165" fontId="19" fillId="0" borderId="8" xfId="0" applyNumberFormat="1" applyFont="1" applyFill="1" applyBorder="1" applyAlignment="1">
      <alignment horizontal="center" vertical="center"/>
    </xf>
    <xf numFmtId="165" fontId="19" fillId="0" borderId="4" xfId="0" applyNumberFormat="1" applyFont="1" applyFill="1" applyBorder="1" applyAlignment="1">
      <alignment horizontal="center" vertical="center"/>
    </xf>
    <xf numFmtId="165" fontId="19" fillId="0" borderId="5" xfId="0" applyNumberFormat="1" applyFont="1" applyFill="1" applyBorder="1" applyAlignment="1">
      <alignment horizontal="center" vertical="center"/>
    </xf>
    <xf numFmtId="0" fontId="13" fillId="5" borderId="8"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0" fillId="0" borderId="0" xfId="0" applyNumberFormat="1" applyFont="1" applyFill="1" applyAlignment="1">
      <alignment horizontal="left" wrapText="1"/>
    </xf>
    <xf numFmtId="0" fontId="6" fillId="0" borderId="0" xfId="0" applyNumberFormat="1" applyFont="1" applyFill="1" applyAlignment="1">
      <alignment horizontal="left" wrapText="1"/>
    </xf>
    <xf numFmtId="0" fontId="5" fillId="0" borderId="2" xfId="0" applyFont="1" applyFill="1" applyBorder="1" applyAlignment="1">
      <alignment horizontal="center"/>
    </xf>
    <xf numFmtId="0" fontId="5" fillId="0" borderId="9" xfId="0" applyFont="1" applyFill="1" applyBorder="1" applyAlignment="1">
      <alignment horizontal="center"/>
    </xf>
    <xf numFmtId="0" fontId="5" fillId="0" borderId="7" xfId="0" applyFont="1" applyFill="1" applyBorder="1" applyAlignment="1">
      <alignment horizontal="center"/>
    </xf>
    <xf numFmtId="0" fontId="6" fillId="3" borderId="9" xfId="0" applyFont="1" applyFill="1" applyBorder="1" applyAlignment="1">
      <alignment horizontal="left"/>
    </xf>
    <xf numFmtId="0" fontId="6" fillId="3" borderId="7" xfId="0" applyFont="1" applyFill="1" applyBorder="1" applyAlignment="1">
      <alignment horizontal="left"/>
    </xf>
    <xf numFmtId="0" fontId="5" fillId="0" borderId="1"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16" borderId="1" xfId="0" applyFont="1" applyFill="1" applyBorder="1" applyAlignment="1">
      <alignment horizontal="center" vertical="center"/>
    </xf>
    <xf numFmtId="0" fontId="3" fillId="9" borderId="10" xfId="0" applyFont="1" applyFill="1" applyBorder="1" applyAlignment="1">
      <alignment horizontal="center" vertical="center"/>
    </xf>
    <xf numFmtId="0" fontId="3" fillId="9" borderId="6" xfId="0" applyFont="1" applyFill="1" applyBorder="1" applyAlignment="1">
      <alignment horizontal="center" vertical="center"/>
    </xf>
    <xf numFmtId="0" fontId="5" fillId="20" borderId="2" xfId="0" applyFont="1" applyFill="1" applyBorder="1" applyAlignment="1">
      <alignment horizontal="center" vertical="center"/>
    </xf>
    <xf numFmtId="0" fontId="5" fillId="20" borderId="7" xfId="0" applyFont="1" applyFill="1" applyBorder="1" applyAlignment="1">
      <alignment horizontal="center" vertical="center"/>
    </xf>
    <xf numFmtId="0" fontId="3" fillId="20" borderId="8" xfId="0" applyFont="1" applyFill="1" applyBorder="1" applyAlignment="1">
      <alignment horizontal="center" vertical="center" wrapText="1"/>
    </xf>
    <xf numFmtId="0" fontId="3" fillId="20" borderId="5" xfId="0" applyFont="1" applyFill="1" applyBorder="1" applyAlignment="1">
      <alignment horizontal="center" vertical="center" wrapText="1"/>
    </xf>
    <xf numFmtId="0" fontId="5" fillId="22" borderId="8" xfId="0" applyFont="1" applyFill="1" applyBorder="1" applyAlignment="1">
      <alignment horizontal="center" vertical="center" wrapText="1"/>
    </xf>
    <xf numFmtId="0" fontId="5" fillId="22" borderId="4" xfId="0" applyFont="1" applyFill="1" applyBorder="1" applyAlignment="1">
      <alignment horizontal="center" vertical="center" wrapText="1"/>
    </xf>
    <xf numFmtId="0" fontId="5" fillId="22" borderId="5" xfId="0" applyFont="1" applyFill="1" applyBorder="1" applyAlignment="1">
      <alignment horizontal="center" vertical="center" wrapText="1"/>
    </xf>
    <xf numFmtId="10" fontId="19" fillId="0" borderId="8" xfId="0" applyNumberFormat="1" applyFont="1" applyFill="1" applyBorder="1" applyAlignment="1">
      <alignment horizontal="center" vertical="center"/>
    </xf>
    <xf numFmtId="10" fontId="19" fillId="0" borderId="4" xfId="0" applyNumberFormat="1" applyFont="1" applyFill="1" applyBorder="1" applyAlignment="1">
      <alignment horizontal="center" vertical="center"/>
    </xf>
    <xf numFmtId="10" fontId="19" fillId="0" borderId="5" xfId="0" applyNumberFormat="1" applyFont="1" applyFill="1" applyBorder="1" applyAlignment="1">
      <alignment horizontal="center" vertical="center"/>
    </xf>
    <xf numFmtId="165" fontId="19" fillId="0" borderId="10" xfId="0" applyNumberFormat="1" applyFont="1" applyFill="1" applyBorder="1" applyAlignment="1">
      <alignment horizontal="center" vertical="center"/>
    </xf>
    <xf numFmtId="165" fontId="19" fillId="0" borderId="17" xfId="0" applyNumberFormat="1" applyFont="1" applyFill="1" applyBorder="1" applyAlignment="1">
      <alignment horizontal="center" vertical="center"/>
    </xf>
    <xf numFmtId="165" fontId="19" fillId="0" borderId="6"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0" fontId="12" fillId="5" borderId="8"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12" fillId="5" borderId="2" xfId="0" applyFont="1" applyFill="1" applyBorder="1" applyAlignment="1">
      <alignment horizontal="center" vertical="center"/>
    </xf>
    <xf numFmtId="0" fontId="12" fillId="5" borderId="9" xfId="0" applyFont="1" applyFill="1" applyBorder="1" applyAlignment="1">
      <alignment horizontal="center" vertical="center"/>
    </xf>
    <xf numFmtId="0" fontId="12" fillId="5" borderId="7" xfId="0" applyFont="1" applyFill="1" applyBorder="1" applyAlignment="1">
      <alignment horizontal="center" vertical="center"/>
    </xf>
    <xf numFmtId="10" fontId="12" fillId="0" borderId="8" xfId="80" applyNumberFormat="1" applyFont="1" applyFill="1" applyBorder="1" applyAlignment="1">
      <alignment horizontal="center" vertical="center"/>
    </xf>
    <xf numFmtId="10" fontId="12" fillId="0" borderId="4" xfId="80" applyNumberFormat="1" applyFont="1" applyFill="1" applyBorder="1" applyAlignment="1">
      <alignment horizontal="center" vertical="center"/>
    </xf>
    <xf numFmtId="10" fontId="12" fillId="0" borderId="5" xfId="80" applyNumberFormat="1" applyFont="1" applyFill="1" applyBorder="1" applyAlignment="1">
      <alignment horizontal="center" vertical="center"/>
    </xf>
    <xf numFmtId="3" fontId="12" fillId="0" borderId="8" xfId="0" applyNumberFormat="1" applyFont="1" applyFill="1" applyBorder="1" applyAlignment="1">
      <alignment horizontal="center" vertical="center"/>
    </xf>
    <xf numFmtId="3" fontId="12" fillId="0" borderId="4" xfId="0" applyNumberFormat="1" applyFont="1" applyFill="1" applyBorder="1" applyAlignment="1">
      <alignment horizontal="center" vertical="center"/>
    </xf>
    <xf numFmtId="3" fontId="12" fillId="0" borderId="5" xfId="0" applyNumberFormat="1" applyFont="1" applyFill="1" applyBorder="1" applyAlignment="1">
      <alignment horizontal="center" vertical="center"/>
    </xf>
    <xf numFmtId="0" fontId="5" fillId="4" borderId="1" xfId="0" applyFont="1" applyFill="1" applyBorder="1" applyAlignment="1">
      <alignment horizontal="center"/>
    </xf>
    <xf numFmtId="166" fontId="12" fillId="0" borderId="8" xfId="0" applyNumberFormat="1" applyFont="1" applyFill="1" applyBorder="1" applyAlignment="1">
      <alignment horizontal="center" vertical="center"/>
    </xf>
    <xf numFmtId="166" fontId="12" fillId="0" borderId="4" xfId="0" applyNumberFormat="1" applyFont="1" applyFill="1" applyBorder="1" applyAlignment="1">
      <alignment horizontal="center" vertical="center"/>
    </xf>
    <xf numFmtId="166" fontId="12" fillId="0" borderId="5" xfId="0" applyNumberFormat="1"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8" borderId="8" xfId="0" applyFont="1" applyFill="1" applyBorder="1" applyAlignment="1">
      <alignment horizontal="center" vertical="center"/>
    </xf>
    <xf numFmtId="0" fontId="12" fillId="8" borderId="4" xfId="0" applyFont="1" applyFill="1" applyBorder="1" applyAlignment="1">
      <alignment horizontal="center" vertical="center"/>
    </xf>
    <xf numFmtId="0" fontId="12" fillId="8" borderId="5" xfId="0" applyFont="1" applyFill="1" applyBorder="1" applyAlignment="1">
      <alignment horizontal="center" vertical="center"/>
    </xf>
    <xf numFmtId="164" fontId="12" fillId="0" borderId="8"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164" fontId="12" fillId="0" borderId="5" xfId="0" applyNumberFormat="1" applyFont="1" applyFill="1" applyBorder="1" applyAlignment="1">
      <alignment horizontal="center" vertical="center"/>
    </xf>
    <xf numFmtId="165" fontId="12" fillId="0" borderId="1" xfId="0" applyNumberFormat="1" applyFont="1" applyFill="1" applyBorder="1" applyAlignment="1">
      <alignment horizontal="center" vertical="center"/>
    </xf>
    <xf numFmtId="166" fontId="19" fillId="0" borderId="1" xfId="0" applyNumberFormat="1" applyFont="1" applyFill="1" applyBorder="1" applyAlignment="1">
      <alignment horizontal="center" vertical="center"/>
    </xf>
    <xf numFmtId="3" fontId="19" fillId="26" borderId="8" xfId="0" applyNumberFormat="1" applyFont="1" applyFill="1" applyBorder="1" applyAlignment="1">
      <alignment horizontal="center" vertical="center"/>
    </xf>
    <xf numFmtId="3" fontId="19" fillId="26" borderId="4" xfId="0" applyNumberFormat="1" applyFont="1" applyFill="1" applyBorder="1" applyAlignment="1">
      <alignment horizontal="center" vertical="center"/>
    </xf>
    <xf numFmtId="3" fontId="19" fillId="26" borderId="5" xfId="0" applyNumberFormat="1" applyFont="1" applyFill="1" applyBorder="1" applyAlignment="1">
      <alignment horizontal="center" vertical="center"/>
    </xf>
    <xf numFmtId="165" fontId="34" fillId="3" borderId="1" xfId="0" applyNumberFormat="1" applyFont="1" applyFill="1" applyBorder="1" applyAlignment="1">
      <alignment horizontal="center" vertical="center"/>
    </xf>
    <xf numFmtId="3" fontId="19" fillId="21" borderId="8" xfId="0" applyNumberFormat="1" applyFont="1" applyFill="1" applyBorder="1" applyAlignment="1">
      <alignment horizontal="center" vertical="center"/>
    </xf>
    <xf numFmtId="3" fontId="19" fillId="21" borderId="4" xfId="0" applyNumberFormat="1" applyFont="1" applyFill="1" applyBorder="1" applyAlignment="1">
      <alignment horizontal="center" vertical="center"/>
    </xf>
    <xf numFmtId="3" fontId="19" fillId="21" borderId="5" xfId="0" applyNumberFormat="1" applyFont="1" applyFill="1" applyBorder="1" applyAlignment="1">
      <alignment horizontal="center" vertical="center"/>
    </xf>
    <xf numFmtId="165" fontId="35" fillId="21" borderId="1" xfId="0" applyNumberFormat="1" applyFont="1" applyFill="1" applyBorder="1" applyAlignment="1">
      <alignment horizontal="center" vertical="center"/>
    </xf>
    <xf numFmtId="165" fontId="36" fillId="26" borderId="1" xfId="0" applyNumberFormat="1" applyFont="1" applyFill="1" applyBorder="1" applyAlignment="1">
      <alignment horizontal="center" vertical="center"/>
    </xf>
    <xf numFmtId="170" fontId="19" fillId="3" borderId="8" xfId="2" applyNumberFormat="1" applyFont="1" applyFill="1" applyBorder="1" applyAlignment="1">
      <alignment horizontal="center" vertical="center"/>
    </xf>
    <xf numFmtId="170" fontId="19" fillId="3" borderId="4" xfId="2" applyNumberFormat="1" applyFont="1" applyFill="1" applyBorder="1" applyAlignment="1">
      <alignment horizontal="center" vertical="center"/>
    </xf>
    <xf numFmtId="170" fontId="19" fillId="3" borderId="5" xfId="2" applyNumberFormat="1" applyFont="1" applyFill="1" applyBorder="1" applyAlignment="1">
      <alignment horizontal="center" vertical="center"/>
    </xf>
    <xf numFmtId="3" fontId="19" fillId="3" borderId="8" xfId="0" applyNumberFormat="1" applyFont="1" applyFill="1" applyBorder="1" applyAlignment="1">
      <alignment horizontal="center" vertical="center"/>
    </xf>
    <xf numFmtId="3" fontId="19" fillId="3" borderId="4" xfId="0" applyNumberFormat="1" applyFont="1" applyFill="1" applyBorder="1" applyAlignment="1">
      <alignment horizontal="center" vertical="center"/>
    </xf>
    <xf numFmtId="3" fontId="19" fillId="3" borderId="5" xfId="0" applyNumberFormat="1" applyFont="1" applyFill="1" applyBorder="1" applyAlignment="1">
      <alignment horizontal="center" vertical="center"/>
    </xf>
    <xf numFmtId="164" fontId="37" fillId="3" borderId="8" xfId="0" applyNumberFormat="1" applyFont="1" applyFill="1" applyBorder="1" applyAlignment="1">
      <alignment horizontal="center" vertical="center"/>
    </xf>
    <xf numFmtId="164" fontId="37" fillId="3" borderId="4" xfId="0" applyNumberFormat="1" applyFont="1" applyFill="1" applyBorder="1" applyAlignment="1">
      <alignment horizontal="center" vertical="center"/>
    </xf>
    <xf numFmtId="164" fontId="37" fillId="3" borderId="5" xfId="0" applyNumberFormat="1" applyFont="1" applyFill="1" applyBorder="1" applyAlignment="1">
      <alignment horizontal="center" vertical="center"/>
    </xf>
    <xf numFmtId="170" fontId="19" fillId="21" borderId="8" xfId="2" applyNumberFormat="1" applyFont="1" applyFill="1" applyBorder="1" applyAlignment="1">
      <alignment horizontal="center" vertical="center"/>
    </xf>
    <xf numFmtId="170" fontId="19" fillId="21" borderId="4" xfId="2" applyNumberFormat="1" applyFont="1" applyFill="1" applyBorder="1" applyAlignment="1">
      <alignment horizontal="center" vertical="center"/>
    </xf>
    <xf numFmtId="170" fontId="19" fillId="21" borderId="5" xfId="2" applyNumberFormat="1" applyFont="1" applyFill="1" applyBorder="1" applyAlignment="1">
      <alignment horizontal="center" vertical="center"/>
    </xf>
    <xf numFmtId="3" fontId="19" fillId="21" borderId="1" xfId="0" applyNumberFormat="1" applyFont="1" applyFill="1" applyBorder="1" applyAlignment="1">
      <alignment horizontal="center" vertical="center"/>
    </xf>
    <xf numFmtId="3" fontId="19" fillId="26" borderId="1" xfId="0" applyNumberFormat="1" applyFont="1" applyFill="1" applyBorder="1" applyAlignment="1">
      <alignment horizontal="center" vertical="center"/>
    </xf>
    <xf numFmtId="170" fontId="34" fillId="21" borderId="1" xfId="2" applyNumberFormat="1" applyFont="1" applyFill="1" applyBorder="1" applyAlignment="1">
      <alignment horizontal="center" vertical="center"/>
    </xf>
    <xf numFmtId="170" fontId="12" fillId="21" borderId="8" xfId="2" applyNumberFormat="1" applyFont="1" applyFill="1" applyBorder="1" applyAlignment="1">
      <alignment horizontal="center" vertical="center"/>
    </xf>
    <xf numFmtId="170" fontId="12" fillId="21" borderId="4" xfId="2" applyNumberFormat="1" applyFont="1" applyFill="1" applyBorder="1" applyAlignment="1">
      <alignment horizontal="center" vertical="center"/>
    </xf>
    <xf numFmtId="170" fontId="12" fillId="21" borderId="5" xfId="2" applyNumberFormat="1" applyFont="1" applyFill="1" applyBorder="1" applyAlignment="1">
      <alignment horizontal="center" vertical="center"/>
    </xf>
    <xf numFmtId="3" fontId="12" fillId="21" borderId="8" xfId="0" applyNumberFormat="1" applyFont="1" applyFill="1" applyBorder="1" applyAlignment="1">
      <alignment horizontal="center" vertical="center"/>
    </xf>
    <xf numFmtId="3" fontId="12" fillId="21" borderId="4" xfId="0" applyNumberFormat="1" applyFont="1" applyFill="1" applyBorder="1" applyAlignment="1">
      <alignment horizontal="center" vertical="center"/>
    </xf>
    <xf numFmtId="3" fontId="12" fillId="21" borderId="5" xfId="0" applyNumberFormat="1" applyFont="1" applyFill="1" applyBorder="1" applyAlignment="1">
      <alignment horizontal="center" vertical="center"/>
    </xf>
    <xf numFmtId="3" fontId="34" fillId="26" borderId="1" xfId="0" applyNumberFormat="1" applyFont="1" applyFill="1" applyBorder="1" applyAlignment="1">
      <alignment horizontal="center" vertical="center"/>
    </xf>
    <xf numFmtId="165" fontId="35" fillId="26" borderId="1" xfId="0" applyNumberFormat="1" applyFont="1" applyFill="1" applyBorder="1" applyAlignment="1">
      <alignment horizontal="center" vertical="center"/>
    </xf>
    <xf numFmtId="170" fontId="34" fillId="3" borderId="8" xfId="2" applyNumberFormat="1" applyFont="1" applyFill="1" applyBorder="1" applyAlignment="1">
      <alignment horizontal="center" vertical="center"/>
    </xf>
    <xf numFmtId="170" fontId="34" fillId="3" borderId="4" xfId="2" applyNumberFormat="1" applyFont="1" applyFill="1" applyBorder="1" applyAlignment="1">
      <alignment horizontal="center" vertical="center"/>
    </xf>
    <xf numFmtId="170" fontId="34" fillId="3" borderId="5" xfId="2" applyNumberFormat="1" applyFont="1" applyFill="1" applyBorder="1" applyAlignment="1">
      <alignment horizontal="center" vertical="center"/>
    </xf>
    <xf numFmtId="3" fontId="34" fillId="3" borderId="8" xfId="0" applyNumberFormat="1" applyFont="1" applyFill="1" applyBorder="1" applyAlignment="1">
      <alignment horizontal="center" vertical="center"/>
    </xf>
    <xf numFmtId="3" fontId="34" fillId="3" borderId="4" xfId="0" applyNumberFormat="1" applyFont="1" applyFill="1" applyBorder="1" applyAlignment="1">
      <alignment horizontal="center" vertical="center"/>
    </xf>
    <xf numFmtId="3" fontId="34" fillId="3" borderId="5" xfId="0" applyNumberFormat="1" applyFont="1" applyFill="1" applyBorder="1" applyAlignment="1">
      <alignment horizontal="center" vertical="center"/>
    </xf>
    <xf numFmtId="9" fontId="37" fillId="3" borderId="8" xfId="0" applyNumberFormat="1" applyFont="1" applyFill="1" applyBorder="1" applyAlignment="1">
      <alignment horizontal="center" vertical="center"/>
    </xf>
    <xf numFmtId="9" fontId="37" fillId="3" borderId="4" xfId="0" applyNumberFormat="1" applyFont="1" applyFill="1" applyBorder="1" applyAlignment="1">
      <alignment horizontal="center" vertical="center"/>
    </xf>
    <xf numFmtId="9" fontId="37" fillId="3" borderId="5" xfId="0" applyNumberFormat="1" applyFont="1" applyFill="1" applyBorder="1" applyAlignment="1">
      <alignment horizontal="center" vertical="center"/>
    </xf>
    <xf numFmtId="0" fontId="13" fillId="4" borderId="1" xfId="0" applyFont="1" applyFill="1" applyBorder="1" applyAlignment="1">
      <alignment horizontal="left" vertical="center"/>
    </xf>
    <xf numFmtId="9" fontId="34" fillId="3" borderId="8" xfId="80" applyFont="1" applyFill="1" applyBorder="1" applyAlignment="1">
      <alignment horizontal="center" vertical="center"/>
    </xf>
    <xf numFmtId="9" fontId="34" fillId="3" borderId="4" xfId="80" applyFont="1" applyFill="1" applyBorder="1" applyAlignment="1">
      <alignment horizontal="center" vertical="center"/>
    </xf>
    <xf numFmtId="9" fontId="34" fillId="3" borderId="5" xfId="80" applyFont="1" applyFill="1" applyBorder="1" applyAlignment="1">
      <alignment horizontal="center" vertical="center"/>
    </xf>
    <xf numFmtId="3" fontId="12" fillId="26" borderId="8" xfId="0" applyNumberFormat="1" applyFont="1" applyFill="1" applyBorder="1" applyAlignment="1">
      <alignment horizontal="center" vertical="center"/>
    </xf>
    <xf numFmtId="3" fontId="12" fillId="26" borderId="4" xfId="0" applyNumberFormat="1" applyFont="1" applyFill="1" applyBorder="1" applyAlignment="1">
      <alignment horizontal="center" vertical="center"/>
    </xf>
    <xf numFmtId="3" fontId="12" fillId="26" borderId="5" xfId="0" applyNumberFormat="1" applyFont="1" applyFill="1" applyBorder="1" applyAlignment="1">
      <alignment horizontal="center" vertical="center"/>
    </xf>
    <xf numFmtId="3" fontId="34" fillId="21" borderId="1" xfId="0" applyNumberFormat="1" applyFont="1" applyFill="1" applyBorder="1" applyAlignment="1">
      <alignment horizontal="center" vertical="center"/>
    </xf>
  </cellXfs>
  <cellStyles count="82">
    <cellStyle name="Lien hypertexte" xfId="1" builtinId="8"/>
    <cellStyle name="Milliers" xfId="2" builtinId="3"/>
    <cellStyle name="Monétaire" xfId="81" builtinId="4"/>
    <cellStyle name="Normal" xfId="0" builtinId="0"/>
    <cellStyle name="Normal 10_tableau mobilité des patients hors Union (version modifié)" xfId="3"/>
    <cellStyle name="Normal 11_tableau mobilité des patients hors Union (version modifié)" xfId="4"/>
    <cellStyle name="Normal 12_tableau mobilité des patients hors Union (version modifié)" xfId="5"/>
    <cellStyle name="Normal 13_tableau mobilité des patients hors Union (version modifié)" xfId="6"/>
    <cellStyle name="Normal 14_tableau mobilité des patients hors Union (version modifié)" xfId="7"/>
    <cellStyle name="Normal 15_tableau mobilité des patients hors Union (version modifié)" xfId="8"/>
    <cellStyle name="Normal 16_tableau mobilité des patients hors Union (version modifié)" xfId="9"/>
    <cellStyle name="Normal 17_tableau mobilité des patients hors Union (version modifié)" xfId="10"/>
    <cellStyle name="Normal 18_tableau mobilité des patients hors Union (version modifié)" xfId="11"/>
    <cellStyle name="Normal 19_tableau mobilité des patients hors Union (version modifié)" xfId="12"/>
    <cellStyle name="Normal 2" xfId="13"/>
    <cellStyle name="Normal 2 2" xfId="14"/>
    <cellStyle name="Normal 2 3" xfId="15"/>
    <cellStyle name="Normal 20_tableau mobilité des patients hors Union (version modifié)" xfId="16"/>
    <cellStyle name="Normal 21_tableau mobilité des patients hors Union (version modifié)" xfId="17"/>
    <cellStyle name="Normal 22_tableau mobilité des patients hors Union (version modifié)" xfId="18"/>
    <cellStyle name="Normal 23_tableau mobilité des patients hors Union (version modifié)" xfId="19"/>
    <cellStyle name="Normal 24_tableau mobilité des patients hors Union (version modifié)" xfId="20"/>
    <cellStyle name="Normal 25_tableau mobilité des patients hors Union (version modifié)" xfId="21"/>
    <cellStyle name="Normal 26_tableau mobilité des patients hors Union (version modifié)" xfId="22"/>
    <cellStyle name="Normal 27_tableau mobilité des patients hors Union (version modifié)" xfId="23"/>
    <cellStyle name="Normal 28_tableau mobilité des patients hors Union (version modifié)" xfId="24"/>
    <cellStyle name="Normal 29_tableau mobilité des patients hors Union (version modifié)" xfId="25"/>
    <cellStyle name="Normal 3" xfId="26"/>
    <cellStyle name="Normal 30_tableau mobilité des patients hors Union (version modifié)" xfId="27"/>
    <cellStyle name="Normal 31_tableau mobilité des patients hors Union (version modifié)" xfId="28"/>
    <cellStyle name="Normal 32_tableau mobilité des patients hors Union (version modifié)" xfId="29"/>
    <cellStyle name="Normal 33_tableau mobilité des patients hors Union (version modifié)" xfId="30"/>
    <cellStyle name="Normal 34_tableau mobilité des patients hors Union (version modifié)" xfId="31"/>
    <cellStyle name="Normal 35_tableau mobilité des patients hors Union (version modifié)" xfId="32"/>
    <cellStyle name="Normal 36_tableau mobilité des patients hors Union (version modifié)" xfId="33"/>
    <cellStyle name="Normal 37_tableau mobilité des patients hors Union (version modifié)" xfId="34"/>
    <cellStyle name="Normal 38_tableau mobilité des patients hors Union (version modifié)" xfId="35"/>
    <cellStyle name="Normal 39_tableau mobilité des patients hors Union (version modifié)" xfId="36"/>
    <cellStyle name="Normal 4_tableau mobilité des patients hors Union (version modifié)" xfId="37"/>
    <cellStyle name="Normal 40_tableau mobilité des patients hors Union (version modifié)" xfId="38"/>
    <cellStyle name="Normal 41_tableau mobilité des patients hors Union (version modifié)" xfId="39"/>
    <cellStyle name="Normal 42_tableau mobilité des patients hors Union (version modifié)" xfId="40"/>
    <cellStyle name="Normal 43_tableau mobilité des patients hors Union (version modifié)" xfId="41"/>
    <cellStyle name="Normal 44_tableau mobilité des patients hors Union (version modifié)" xfId="42"/>
    <cellStyle name="Normal 45_tableau mobilité des patients hors Union (version modifié)" xfId="43"/>
    <cellStyle name="Normal 46_tableau mobilité des patients hors Union (version modifié)" xfId="44"/>
    <cellStyle name="Normal 47_tableau mobilité des patients hors Union (version modifié)" xfId="45"/>
    <cellStyle name="Normal 48_tableau mobilité des patients hors Union (version modifié)" xfId="46"/>
    <cellStyle name="Normal 49_tableau mobilité des patients hors Union (version modifié)" xfId="47"/>
    <cellStyle name="Normal 5_tableau mobilité des patients hors Union (version modifié)" xfId="48"/>
    <cellStyle name="Normal 50_tableau mobilité des patients hors Union (version modifié)" xfId="49"/>
    <cellStyle name="Normal 51_tableau mobilité des patients hors Union (version modifié)" xfId="50"/>
    <cellStyle name="Normal 52_tableau mobilité des patients hors Union (version modifié)" xfId="51"/>
    <cellStyle name="Normal 53_tableau mobilité des patients hors Union (version modifié)" xfId="52"/>
    <cellStyle name="Normal 54_tableau mobilité des patients hors Union (version modifié)" xfId="53"/>
    <cellStyle name="Normal 55_tableau mobilité des patients hors Union (version modifié)" xfId="54"/>
    <cellStyle name="Normal 56_tableau mobilité des patients hors Union (version modifié)" xfId="55"/>
    <cellStyle name="Normal 57_tableau mobilité des patients hors Union (version modifié)" xfId="56"/>
    <cellStyle name="Normal 58_tableau mobilité des patients hors Union (version modifié)" xfId="57"/>
    <cellStyle name="Normal 59_tableau mobilité des patients hors Union (version modifié)" xfId="58"/>
    <cellStyle name="Normal 6_tableau mobilité des patients hors Union (version modifié)" xfId="59"/>
    <cellStyle name="Normal 60_tableau mobilité des patients hors Union (version modifié)" xfId="60"/>
    <cellStyle name="Normal 61_tableau mobilité des patients hors Union (version modifié)" xfId="61"/>
    <cellStyle name="Normal 62_tableau mobilité des patients hors Union (version modifié)" xfId="62"/>
    <cellStyle name="Normal 63_tableau mobilité des patients hors Union (version modifié)" xfId="63"/>
    <cellStyle name="Normal 64_tableau mobilité des patients hors Union (version modifié)" xfId="64"/>
    <cellStyle name="Normal 65_tableau mobilité des patients hors Union (version modifié)" xfId="65"/>
    <cellStyle name="Normal 66_tableau mobilité des patients hors Union (version modifié)" xfId="66"/>
    <cellStyle name="Normal 67_tableau mobilité des patients hors Union (version modifié)" xfId="67"/>
    <cellStyle name="Normal 68_tableau mobilité des patients hors Union (version modifié)" xfId="68"/>
    <cellStyle name="Normal 69_tableau mobilité des patients hors Union (version modifié)" xfId="69"/>
    <cellStyle name="Normal 7_tableau mobilité des patients hors Union (version modifié)" xfId="70"/>
    <cellStyle name="Normal 70_tableau mobilité des patients hors Union (version modifié)" xfId="71"/>
    <cellStyle name="Normal 71_tableau mobilité des patients hors Union (version modifié)" xfId="72"/>
    <cellStyle name="Normal 72_tableau mobilité des patients hors Union (version modifié)" xfId="73"/>
    <cellStyle name="Normal 73_tableau mobilité des patients hors Union (version modifié)" xfId="74"/>
    <cellStyle name="Normal 74_tableau mobilité des patients hors Union (version modifié)" xfId="75"/>
    <cellStyle name="Normal 75_tableau mobilité des patients hors Union (version modifié)" xfId="76"/>
    <cellStyle name="Normal 76_tableau mobilité des patients hors Union (version modifié)" xfId="77"/>
    <cellStyle name="Normal 8_tableau mobilité des patients hors Union (version modifié)" xfId="78"/>
    <cellStyle name="Normal 9_tableau mobilité des patients hors Union (version modifié)" xfId="79"/>
    <cellStyle name="Pourcentage" xfId="80" builtinId="5"/>
  </cellStyles>
  <dxfs count="12">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
      <fill>
        <patternFill>
          <bgColor rgb="FF92D050"/>
        </patternFill>
      </fill>
    </dxf>
    <dxf>
      <fill>
        <patternFill>
          <bgColor rgb="FFFFC000"/>
        </patternFill>
      </fill>
    </dxf>
    <dxf>
      <fill>
        <patternFill>
          <bgColor rgb="FF00B0F0"/>
        </patternFill>
      </fill>
    </dxf>
  </dxfs>
  <tableStyles count="0" defaultTableStyle="TableStyleMedium9" defaultPivotStyle="PivotStyleLight16"/>
  <colors>
    <mruColors>
      <color rgb="FFFFF0C1"/>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lang val="fr-FR"/>
  <c:style val="40"/>
  <c:chart>
    <c:view3D>
      <c:rotX val="30"/>
      <c:perspective val="30"/>
    </c:view3D>
    <c:plotArea>
      <c:layout>
        <c:manualLayout>
          <c:layoutTarget val="inner"/>
          <c:xMode val="edge"/>
          <c:yMode val="edge"/>
          <c:x val="7.0907887680213832E-2"/>
          <c:y val="4.0084357404395372E-2"/>
          <c:w val="0.6906183410146175"/>
          <c:h val="0.7898157052705298"/>
        </c:manualLayout>
      </c:layout>
      <c:pie3DChart>
        <c:varyColors val="1"/>
        <c:ser>
          <c:idx val="0"/>
          <c:order val="0"/>
          <c:dLbls>
            <c:dLbl>
              <c:idx val="4"/>
              <c:layout>
                <c:manualLayout>
                  <c:x val="0"/>
                  <c:y val="-3.4104745071058741E-2"/>
                </c:manualLayout>
              </c:layout>
              <c:dLblPos val="bestFit"/>
              <c:showPercent val="1"/>
            </c:dLbl>
            <c:dLbl>
              <c:idx val="5"/>
              <c:layout>
                <c:manualLayout>
                  <c:x val="3.4105762347888334E-2"/>
                  <c:y val="-2.0462847042635231E-2"/>
                </c:manualLayout>
              </c:layout>
              <c:dLblPos val="bestFit"/>
              <c:showPercent val="1"/>
            </c:dLbl>
            <c:numFmt formatCode="0.0%" sourceLinked="0"/>
            <c:txPr>
              <a:bodyPr/>
              <a:lstStyle/>
              <a:p>
                <a:pPr>
                  <a:defRPr sz="1200"/>
                </a:pPr>
                <a:endParaRPr lang="fr-FR"/>
              </a:p>
            </c:txPr>
            <c:dLblPos val="outEnd"/>
            <c:showPercent val="1"/>
            <c:showLeaderLines val="1"/>
          </c:dLbls>
          <c:cat>
            <c:strRef>
              <c:f>'Tab. 4 et Graphs 9 &amp; 10'!$D$25:$D$30</c:f>
              <c:strCache>
                <c:ptCount val="6"/>
                <c:pt idx="0">
                  <c:v>CNSE - coordination</c:v>
                </c:pt>
                <c:pt idx="1">
                  <c:v>Conventions transfrontalières</c:v>
                </c:pt>
                <c:pt idx="2">
                  <c:v>CNSE (Régime général)</c:v>
                </c:pt>
                <c:pt idx="3">
                  <c:v>MGEN (Fonctionnaires)</c:v>
                </c:pt>
                <c:pt idx="4">
                  <c:v>Sécurité sociale des indépendants (ex-RSI)</c:v>
                </c:pt>
                <c:pt idx="5">
                  <c:v>Autres</c:v>
                </c:pt>
              </c:strCache>
            </c:strRef>
          </c:cat>
          <c:val>
            <c:numRef>
              <c:f>'Tab. 4 et Graphs 9 &amp; 10'!$G$25:$G$30</c:f>
              <c:numCache>
                <c:formatCode>_-* #,##0\ _€_-;\-* #,##0\ _€_-;_-* "-"??\ _€_-;_-@_-</c:formatCode>
                <c:ptCount val="6"/>
                <c:pt idx="0">
                  <c:v>428617278.82000011</c:v>
                </c:pt>
                <c:pt idx="1">
                  <c:v>88981870.840000004</c:v>
                </c:pt>
                <c:pt idx="2">
                  <c:v>36038814.559999995</c:v>
                </c:pt>
                <c:pt idx="3">
                  <c:v>12464211.060000002</c:v>
                </c:pt>
                <c:pt idx="4">
                  <c:v>5703604.9999999991</c:v>
                </c:pt>
                <c:pt idx="5">
                  <c:v>3139728.7100000763</c:v>
                </c:pt>
              </c:numCache>
            </c:numRef>
          </c:val>
        </c:ser>
        <c:dLbls>
          <c:showVal val="1"/>
        </c:dLbls>
      </c:pie3DChart>
    </c:plotArea>
    <c:legend>
      <c:legendPos val="b"/>
      <c:layout>
        <c:manualLayout>
          <c:xMode val="edge"/>
          <c:yMode val="edge"/>
          <c:x val="4.3418575518969216E-2"/>
          <c:y val="0.81216798225049425"/>
          <c:w val="0.93643816966769156"/>
          <c:h val="0.15533073075917891"/>
        </c:manualLayout>
      </c:layout>
      <c:txPr>
        <a:bodyPr/>
        <a:lstStyle/>
        <a:p>
          <a:pPr>
            <a:defRPr sz="1100"/>
          </a:pPr>
          <a:endParaRPr lang="fr-FR"/>
        </a:p>
      </c:txPr>
    </c:legend>
    <c:dispBlanksAs val="zero"/>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fr-FR"/>
  <c:style val="20"/>
  <c:chart>
    <c:autoTitleDeleted val="1"/>
    <c:plotArea>
      <c:layout>
        <c:manualLayout>
          <c:layoutTarget val="inner"/>
          <c:xMode val="edge"/>
          <c:yMode val="edge"/>
          <c:x val="0.10760017497812865"/>
          <c:y val="5.0965238569850468E-2"/>
          <c:w val="0.52731496062992056"/>
          <c:h val="0.87953670883489887"/>
        </c:manualLayout>
      </c:layout>
      <c:pieChart>
        <c:varyColors val="1"/>
        <c:ser>
          <c:idx val="0"/>
          <c:order val="0"/>
          <c:tx>
            <c:strRef>
              <c:f>'Carte 3-Mappemonde'!$G$7</c:f>
              <c:strCache>
                <c:ptCount val="1"/>
                <c:pt idx="0">
                  <c:v>Montant remboursé</c:v>
                </c:pt>
              </c:strCache>
            </c:strRef>
          </c:tx>
          <c:dLbls>
            <c:dLbl>
              <c:idx val="5"/>
              <c:layout>
                <c:manualLayout>
                  <c:x val="4.0042761670025802E-2"/>
                  <c:y val="5.3179326135207816E-2"/>
                </c:manualLayout>
              </c:layout>
              <c:dLblPos val="bestFit"/>
              <c:showPercent val="1"/>
            </c:dLbl>
            <c:dLbl>
              <c:idx val="6"/>
              <c:layout>
                <c:manualLayout>
                  <c:x val="-3.2951881014873292E-2"/>
                  <c:y val="6.7079666292605408E-2"/>
                </c:manualLayout>
              </c:layout>
              <c:dLblPos val="bestFit"/>
              <c:showPercent val="1"/>
            </c:dLbl>
            <c:numFmt formatCode="0.0%" sourceLinked="0"/>
            <c:dLblPos val="inEnd"/>
            <c:showPercent val="1"/>
            <c:showLeaderLines val="1"/>
          </c:dLbls>
          <c:cat>
            <c:strRef>
              <c:f>('Carte 3-Mappemonde'!$B$8,'Carte 3-Mappemonde'!$B$15,'Carte 3-Mappemonde'!$B$22,'Carte 3-Mappemonde'!$B$29,'Carte 3-Mappemonde'!$B$36,'Carte 3-Mappemonde'!$B$43,'Carte 3-Mappemonde'!$B$50)</c:f>
              <c:strCache>
                <c:ptCount val="7"/>
                <c:pt idx="0">
                  <c:v>Afrique</c:v>
                </c:pt>
                <c:pt idx="1">
                  <c:v>Amérique</c:v>
                </c:pt>
                <c:pt idx="2">
                  <c:v>Asie</c:v>
                </c:pt>
                <c:pt idx="3">
                  <c:v>Europe</c:v>
                </c:pt>
                <c:pt idx="4">
                  <c:v>Océanie</c:v>
                </c:pt>
                <c:pt idx="5">
                  <c:v>Continent non déterminés</c:v>
                </c:pt>
                <c:pt idx="6">
                  <c:v>Croisière</c:v>
                </c:pt>
              </c:strCache>
            </c:strRef>
          </c:cat>
          <c:val>
            <c:numRef>
              <c:f>('Carte 3-Mappemonde'!$G$11,'Carte 3-Mappemonde'!$G$18,'Carte 3-Mappemonde'!$G$25,'Carte 3-Mappemonde'!$G$32,'Carte 3-Mappemonde'!$G$39,'Carte 3-Mappemonde'!$G$46,'Carte 3-Mappemonde'!$G$53)</c:f>
              <c:numCache>
                <c:formatCode>#,##0</c:formatCode>
                <c:ptCount val="7"/>
                <c:pt idx="0">
                  <c:v>103874921.24464048</c:v>
                </c:pt>
                <c:pt idx="1">
                  <c:v>10980015.48</c:v>
                </c:pt>
                <c:pt idx="2">
                  <c:v>15039601.483025651</c:v>
                </c:pt>
                <c:pt idx="3">
                  <c:v>3359958.1287726201</c:v>
                </c:pt>
                <c:pt idx="4">
                  <c:v>77840099.319999993</c:v>
                </c:pt>
                <c:pt idx="5">
                  <c:v>243051.8</c:v>
                </c:pt>
                <c:pt idx="6">
                  <c:v>242957.21999999994</c:v>
                </c:pt>
              </c:numCache>
            </c:numRef>
          </c:val>
        </c:ser>
        <c:dLbls>
          <c:showVal val="1"/>
        </c:dLbls>
        <c:firstSliceAng val="0"/>
      </c:pieChart>
    </c:plotArea>
    <c:legend>
      <c:legendPos val="r"/>
      <c:layout>
        <c:manualLayout>
          <c:xMode val="edge"/>
          <c:yMode val="edge"/>
          <c:x val="0.66751531058618263"/>
          <c:y val="0.24570388941017518"/>
          <c:w val="0.31581802274715914"/>
          <c:h val="0.74013674881908031"/>
        </c:manualLayout>
      </c:layout>
      <c:spPr>
        <a:ln>
          <a:noFill/>
        </a:ln>
      </c:spPr>
      <c:txPr>
        <a:bodyPr/>
        <a:lstStyle/>
        <a:p>
          <a:pPr>
            <a:defRPr sz="1050"/>
          </a:pPr>
          <a:endParaRPr lang="fr-FR"/>
        </a:p>
      </c:txPr>
    </c:legend>
    <c:plotVisOnly val="1"/>
  </c:chart>
  <c:spPr>
    <a:ln w="3175">
      <a:solidFill>
        <a:schemeClr val="tx1"/>
      </a:solidFill>
    </a:ln>
  </c:spPr>
  <c:printSettings>
    <c:headerFooter/>
    <c:pageMargins b="0.75000000000000355" l="0.70000000000000062" r="0.70000000000000062" t="0.75000000000000355"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fr-FR"/>
  <c:style val="26"/>
  <c:chart>
    <c:view3D>
      <c:rotX val="30"/>
      <c:perspective val="30"/>
    </c:view3D>
    <c:plotArea>
      <c:layout>
        <c:manualLayout>
          <c:layoutTarget val="inner"/>
          <c:xMode val="edge"/>
          <c:yMode val="edge"/>
          <c:x val="1.1498799616873189E-3"/>
          <c:y val="0.11909416281642519"/>
          <c:w val="0.71338261095741407"/>
          <c:h val="0.8180129990714945"/>
        </c:manualLayout>
      </c:layout>
      <c:pie3DChart>
        <c:varyColors val="1"/>
        <c:ser>
          <c:idx val="0"/>
          <c:order val="0"/>
          <c:dPt>
            <c:idx val="0"/>
            <c:spPr>
              <a:solidFill>
                <a:srgbClr val="FFC000"/>
              </a:solidFill>
            </c:spPr>
          </c:dPt>
          <c:dPt>
            <c:idx val="1"/>
            <c:spPr>
              <a:solidFill>
                <a:srgbClr val="00B0F0"/>
              </a:solidFill>
            </c:spPr>
          </c:dPt>
          <c:dPt>
            <c:idx val="2"/>
            <c:spPr>
              <a:solidFill>
                <a:schemeClr val="accent3"/>
              </a:solidFill>
            </c:spPr>
          </c:dPt>
          <c:dPt>
            <c:idx val="3"/>
            <c:spPr>
              <a:solidFill>
                <a:srgbClr val="F79646"/>
              </a:solidFill>
            </c:spPr>
          </c:dPt>
          <c:dPt>
            <c:idx val="4"/>
            <c:spPr>
              <a:solidFill>
                <a:schemeClr val="accent2"/>
              </a:solidFill>
            </c:spPr>
          </c:dPt>
          <c:dPt>
            <c:idx val="5"/>
            <c:spPr>
              <a:solidFill>
                <a:schemeClr val="accent4">
                  <a:lumMod val="75000"/>
                </a:schemeClr>
              </a:solidFill>
            </c:spPr>
          </c:dPt>
          <c:dLbls>
            <c:numFmt formatCode="0.0%" sourceLinked="0"/>
            <c:dLblPos val="inEnd"/>
            <c:showPercent val="1"/>
            <c:showLeaderLines val="1"/>
          </c:dLbls>
          <c:cat>
            <c:strRef>
              <c:f>'Graphique 15'!$O$4:$O$9</c:f>
              <c:strCache>
                <c:ptCount val="6"/>
                <c:pt idx="0">
                  <c:v>Algérie</c:v>
                </c:pt>
                <c:pt idx="1">
                  <c:v>Maroc</c:v>
                </c:pt>
                <c:pt idx="2">
                  <c:v>Tunisie</c:v>
                </c:pt>
                <c:pt idx="3">
                  <c:v>Turquie</c:v>
                </c:pt>
                <c:pt idx="4">
                  <c:v>Polynésie Française</c:v>
                </c:pt>
                <c:pt idx="5">
                  <c:v>Autres pays</c:v>
                </c:pt>
              </c:strCache>
            </c:strRef>
          </c:cat>
          <c:val>
            <c:numRef>
              <c:f>'Graphique 15'!$P$4:$P$9</c:f>
              <c:numCache>
                <c:formatCode>#,##0</c:formatCode>
                <c:ptCount val="6"/>
                <c:pt idx="0">
                  <c:v>200576</c:v>
                </c:pt>
                <c:pt idx="1">
                  <c:v>103582</c:v>
                </c:pt>
                <c:pt idx="2">
                  <c:v>39629</c:v>
                </c:pt>
                <c:pt idx="3">
                  <c:v>34815</c:v>
                </c:pt>
                <c:pt idx="4">
                  <c:v>30977</c:v>
                </c:pt>
                <c:pt idx="5">
                  <c:v>115222</c:v>
                </c:pt>
              </c:numCache>
            </c:numRef>
          </c:val>
        </c:ser>
        <c:dLbls>
          <c:showVal val="1"/>
        </c:dLbls>
      </c:pie3DChart>
      <c:spPr>
        <a:noFill/>
        <a:ln w="25400">
          <a:noFill/>
        </a:ln>
      </c:spPr>
    </c:plotArea>
    <c:legend>
      <c:legendPos val="r"/>
      <c:layout>
        <c:manualLayout>
          <c:xMode val="edge"/>
          <c:yMode val="edge"/>
          <c:x val="0.70209986975810701"/>
          <c:y val="0.17193419720173123"/>
          <c:w val="0.28507454200467525"/>
          <c:h val="0.67098724864116865"/>
        </c:manualLayout>
      </c:layout>
      <c:txPr>
        <a:bodyPr/>
        <a:lstStyle/>
        <a:p>
          <a:pPr>
            <a:defRPr sz="845" b="0" i="0" u="none" strike="noStrike" baseline="0">
              <a:solidFill>
                <a:srgbClr val="000000"/>
              </a:solidFill>
              <a:latin typeface="Calibri"/>
              <a:ea typeface="Calibri"/>
              <a:cs typeface="Calibri"/>
            </a:defRPr>
          </a:pPr>
          <a:endParaRPr lang="fr-FR"/>
        </a:p>
      </c:txPr>
    </c:legend>
    <c:dispBlanksAs val="zero"/>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fr-FR"/>
  <c:style val="4"/>
  <c:chart>
    <c:plotArea>
      <c:layout>
        <c:manualLayout>
          <c:layoutTarget val="inner"/>
          <c:xMode val="edge"/>
          <c:yMode val="edge"/>
          <c:x val="3.0555555555555582E-2"/>
          <c:y val="1.8518518518518583E-2"/>
          <c:w val="0.93888888888889765"/>
          <c:h val="0.7951428988043161"/>
        </c:manualLayout>
      </c:layout>
      <c:barChart>
        <c:barDir val="col"/>
        <c:grouping val="clustered"/>
        <c:ser>
          <c:idx val="0"/>
          <c:order val="0"/>
          <c:dPt>
            <c:idx val="1"/>
            <c:spPr>
              <a:solidFill>
                <a:schemeClr val="accent2">
                  <a:lumMod val="60000"/>
                  <a:lumOff val="40000"/>
                </a:schemeClr>
              </a:solidFill>
            </c:spPr>
          </c:dPt>
          <c:dPt>
            <c:idx val="2"/>
            <c:spPr>
              <a:solidFill>
                <a:schemeClr val="accent2">
                  <a:lumMod val="60000"/>
                  <a:lumOff val="40000"/>
                </a:schemeClr>
              </a:solidFill>
            </c:spPr>
          </c:dPt>
          <c:dPt>
            <c:idx val="3"/>
            <c:spPr>
              <a:solidFill>
                <a:schemeClr val="accent2">
                  <a:lumMod val="60000"/>
                  <a:lumOff val="40000"/>
                </a:schemeClr>
              </a:solidFill>
            </c:spPr>
          </c:dPt>
          <c:dPt>
            <c:idx val="4"/>
            <c:spPr>
              <a:solidFill>
                <a:schemeClr val="accent2">
                  <a:lumMod val="60000"/>
                  <a:lumOff val="40000"/>
                </a:schemeClr>
              </a:solidFill>
            </c:spPr>
          </c:dPt>
          <c:dLbls>
            <c:numFmt formatCode="#,##0" sourceLinked="0"/>
            <c:txPr>
              <a:bodyPr rot="0" vert="horz"/>
              <a:lstStyle/>
              <a:p>
                <a:pPr>
                  <a:defRPr/>
                </a:pPr>
                <a:endParaRPr lang="fr-FR"/>
              </a:p>
            </c:txPr>
            <c:dLblPos val="outEnd"/>
            <c:showVal val="1"/>
          </c:dLbls>
          <c:cat>
            <c:strRef>
              <c:f>'Graphique 15'!$O$4:$O$8</c:f>
              <c:strCache>
                <c:ptCount val="5"/>
                <c:pt idx="0">
                  <c:v>Algérie</c:v>
                </c:pt>
                <c:pt idx="1">
                  <c:v>Maroc</c:v>
                </c:pt>
                <c:pt idx="2">
                  <c:v>Tunisie</c:v>
                </c:pt>
                <c:pt idx="3">
                  <c:v>Turquie</c:v>
                </c:pt>
                <c:pt idx="4">
                  <c:v>Polynésie Française</c:v>
                </c:pt>
              </c:strCache>
            </c:strRef>
          </c:cat>
          <c:val>
            <c:numRef>
              <c:f>'Graphique 15'!$P$4:$P$8</c:f>
              <c:numCache>
                <c:formatCode>#,##0</c:formatCode>
                <c:ptCount val="5"/>
                <c:pt idx="0">
                  <c:v>200576</c:v>
                </c:pt>
                <c:pt idx="1">
                  <c:v>103582</c:v>
                </c:pt>
                <c:pt idx="2">
                  <c:v>39629</c:v>
                </c:pt>
                <c:pt idx="3">
                  <c:v>34815</c:v>
                </c:pt>
                <c:pt idx="4">
                  <c:v>30977</c:v>
                </c:pt>
              </c:numCache>
            </c:numRef>
          </c:val>
        </c:ser>
        <c:gapWidth val="76"/>
        <c:axId val="154743552"/>
        <c:axId val="154745088"/>
      </c:barChart>
      <c:catAx>
        <c:axId val="154743552"/>
        <c:scaling>
          <c:orientation val="minMax"/>
        </c:scaling>
        <c:axPos val="b"/>
        <c:numFmt formatCode="#,##0" sourceLinked="1"/>
        <c:tickLblPos val="nextTo"/>
        <c:txPr>
          <a:bodyPr rot="0"/>
          <a:lstStyle/>
          <a:p>
            <a:pPr>
              <a:defRPr/>
            </a:pPr>
            <a:endParaRPr lang="fr-FR"/>
          </a:p>
        </c:txPr>
        <c:crossAx val="154745088"/>
        <c:crosses val="autoZero"/>
        <c:auto val="1"/>
        <c:lblAlgn val="ctr"/>
        <c:lblOffset val="100"/>
        <c:tickLblSkip val="1"/>
      </c:catAx>
      <c:valAx>
        <c:axId val="154745088"/>
        <c:scaling>
          <c:orientation val="minMax"/>
        </c:scaling>
        <c:delete val="1"/>
        <c:axPos val="l"/>
        <c:numFmt formatCode="#,##0" sourceLinked="1"/>
        <c:tickLblPos val="none"/>
        <c:crossAx val="154743552"/>
        <c:crosses val="autoZero"/>
        <c:crossBetween val="between"/>
      </c:valAx>
    </c:plotArea>
    <c:dispBlanksAs val="gap"/>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fr-FR"/>
  <c:style val="26"/>
  <c:chart>
    <c:view3D>
      <c:rotX val="30"/>
      <c:perspective val="30"/>
    </c:view3D>
    <c:plotArea>
      <c:layout>
        <c:manualLayout>
          <c:layoutTarget val="inner"/>
          <c:xMode val="edge"/>
          <c:yMode val="edge"/>
          <c:x val="1.1498799616873193E-3"/>
          <c:y val="0.11909416281642519"/>
          <c:w val="0.71338261095741407"/>
          <c:h val="0.8180129990714945"/>
        </c:manualLayout>
      </c:layout>
      <c:pie3DChart>
        <c:varyColors val="1"/>
        <c:ser>
          <c:idx val="0"/>
          <c:order val="0"/>
          <c:dPt>
            <c:idx val="0"/>
            <c:spPr>
              <a:solidFill>
                <a:srgbClr val="FFC000"/>
              </a:solidFill>
            </c:spPr>
          </c:dPt>
          <c:dPt>
            <c:idx val="1"/>
            <c:spPr>
              <a:solidFill>
                <a:srgbClr val="00B0F0"/>
              </a:solidFill>
            </c:spPr>
          </c:dPt>
          <c:dPt>
            <c:idx val="2"/>
            <c:spPr>
              <a:solidFill>
                <a:schemeClr val="accent3"/>
              </a:solidFill>
            </c:spPr>
          </c:dPt>
          <c:dPt>
            <c:idx val="3"/>
            <c:spPr>
              <a:solidFill>
                <a:srgbClr val="F79646"/>
              </a:solidFill>
            </c:spPr>
          </c:dPt>
          <c:dPt>
            <c:idx val="4"/>
            <c:spPr>
              <a:solidFill>
                <a:schemeClr val="accent2"/>
              </a:solidFill>
            </c:spPr>
          </c:dPt>
          <c:dLbls>
            <c:numFmt formatCode="0.0%" sourceLinked="0"/>
            <c:dLblPos val="inEnd"/>
            <c:showPercent val="1"/>
            <c:showLeaderLines val="1"/>
          </c:dLbls>
          <c:cat>
            <c:strRef>
              <c:f>'Graphique 16'!$L$20:$L$25</c:f>
              <c:strCache>
                <c:ptCount val="6"/>
                <c:pt idx="0">
                  <c:v>Algérie</c:v>
                </c:pt>
                <c:pt idx="1">
                  <c:v>Polynésie Française</c:v>
                </c:pt>
                <c:pt idx="2">
                  <c:v>Maroc</c:v>
                </c:pt>
                <c:pt idx="3">
                  <c:v>Nouvelle-Calédonie</c:v>
                </c:pt>
                <c:pt idx="4">
                  <c:v>Tunisie</c:v>
                </c:pt>
                <c:pt idx="5">
                  <c:v>Autres pays</c:v>
                </c:pt>
              </c:strCache>
            </c:strRef>
          </c:cat>
          <c:val>
            <c:numRef>
              <c:f>'Graphique 16'!$M$20:$M$25</c:f>
              <c:numCache>
                <c:formatCode>#,##0.00,," M€"</c:formatCode>
                <c:ptCount val="6"/>
                <c:pt idx="0">
                  <c:v>72370665.016685903</c:v>
                </c:pt>
                <c:pt idx="1">
                  <c:v>62124590.950000003</c:v>
                </c:pt>
                <c:pt idx="2">
                  <c:v>16135816.560000001</c:v>
                </c:pt>
                <c:pt idx="3">
                  <c:v>15344338.890000001</c:v>
                </c:pt>
                <c:pt idx="4">
                  <c:v>9912414.2902603</c:v>
                </c:pt>
                <c:pt idx="5">
                  <c:v>35692778.96949251</c:v>
                </c:pt>
              </c:numCache>
            </c:numRef>
          </c:val>
        </c:ser>
      </c:pie3DChart>
      <c:spPr>
        <a:noFill/>
        <a:ln w="25400">
          <a:noFill/>
        </a:ln>
      </c:spPr>
    </c:plotArea>
    <c:legend>
      <c:legendPos val="r"/>
      <c:layout>
        <c:manualLayout>
          <c:xMode val="edge"/>
          <c:yMode val="edge"/>
          <c:x val="0.70209999869421125"/>
          <c:y val="0.17193406160198371"/>
          <c:w val="0.28507436570429939"/>
          <c:h val="0.6709873123567216"/>
        </c:manualLayout>
      </c:layout>
      <c:txPr>
        <a:bodyPr/>
        <a:lstStyle/>
        <a:p>
          <a:pPr>
            <a:defRPr sz="845" b="0" i="0" u="none" strike="noStrike" baseline="0">
              <a:solidFill>
                <a:srgbClr val="000000"/>
              </a:solidFill>
              <a:latin typeface="Calibri"/>
              <a:ea typeface="Calibri"/>
              <a:cs typeface="Calibri"/>
            </a:defRPr>
          </a:pPr>
          <a:endParaRPr lang="fr-FR"/>
        </a:p>
      </c:txPr>
    </c:legend>
    <c:dispBlanksAs val="zero"/>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fr-FR"/>
  <c:style val="4"/>
  <c:chart>
    <c:plotArea>
      <c:layout>
        <c:manualLayout>
          <c:layoutTarget val="inner"/>
          <c:xMode val="edge"/>
          <c:yMode val="edge"/>
          <c:x val="3.0555555555555582E-2"/>
          <c:y val="6.0472009289219454E-2"/>
          <c:w val="0.93888888888889765"/>
          <c:h val="0.7531894528378914"/>
        </c:manualLayout>
      </c:layout>
      <c:barChart>
        <c:barDir val="col"/>
        <c:grouping val="clustered"/>
        <c:ser>
          <c:idx val="0"/>
          <c:order val="0"/>
          <c:dPt>
            <c:idx val="1"/>
            <c:spPr>
              <a:solidFill>
                <a:schemeClr val="accent2">
                  <a:lumMod val="60000"/>
                  <a:lumOff val="40000"/>
                </a:schemeClr>
              </a:solidFill>
            </c:spPr>
          </c:dPt>
          <c:dPt>
            <c:idx val="2"/>
            <c:spPr>
              <a:solidFill>
                <a:schemeClr val="accent2">
                  <a:lumMod val="60000"/>
                  <a:lumOff val="40000"/>
                </a:schemeClr>
              </a:solidFill>
            </c:spPr>
          </c:dPt>
          <c:dPt>
            <c:idx val="3"/>
            <c:spPr>
              <a:solidFill>
                <a:schemeClr val="accent2">
                  <a:lumMod val="60000"/>
                  <a:lumOff val="40000"/>
                </a:schemeClr>
              </a:solidFill>
            </c:spPr>
          </c:dPt>
          <c:dPt>
            <c:idx val="4"/>
            <c:spPr>
              <a:solidFill>
                <a:schemeClr val="accent2">
                  <a:lumMod val="60000"/>
                  <a:lumOff val="40000"/>
                </a:schemeClr>
              </a:solidFill>
            </c:spPr>
          </c:dPt>
          <c:dLbls>
            <c:dLblPos val="outEnd"/>
            <c:showVal val="1"/>
          </c:dLbls>
          <c:cat>
            <c:strRef>
              <c:f>'Graphique 16'!$L$20:$L$24</c:f>
              <c:strCache>
                <c:ptCount val="5"/>
                <c:pt idx="0">
                  <c:v>Algérie</c:v>
                </c:pt>
                <c:pt idx="1">
                  <c:v>Polynésie Française</c:v>
                </c:pt>
                <c:pt idx="2">
                  <c:v>Maroc</c:v>
                </c:pt>
                <c:pt idx="3">
                  <c:v>Nouvelle-Calédonie</c:v>
                </c:pt>
                <c:pt idx="4">
                  <c:v>Tunisie</c:v>
                </c:pt>
              </c:strCache>
            </c:strRef>
          </c:cat>
          <c:val>
            <c:numRef>
              <c:f>'Graphique 16'!$M$20:$M$24</c:f>
              <c:numCache>
                <c:formatCode>#,##0.00,," M€"</c:formatCode>
                <c:ptCount val="5"/>
                <c:pt idx="0">
                  <c:v>72370665.016685903</c:v>
                </c:pt>
                <c:pt idx="1">
                  <c:v>62124590.950000003</c:v>
                </c:pt>
                <c:pt idx="2">
                  <c:v>16135816.560000001</c:v>
                </c:pt>
                <c:pt idx="3">
                  <c:v>15344338.890000001</c:v>
                </c:pt>
                <c:pt idx="4">
                  <c:v>9912414.2902603</c:v>
                </c:pt>
              </c:numCache>
            </c:numRef>
          </c:val>
        </c:ser>
        <c:gapWidth val="76"/>
        <c:axId val="155164032"/>
        <c:axId val="155182208"/>
      </c:barChart>
      <c:catAx>
        <c:axId val="155164032"/>
        <c:scaling>
          <c:orientation val="minMax"/>
        </c:scaling>
        <c:axPos val="b"/>
        <c:numFmt formatCode="General" sourceLinked="1"/>
        <c:tickLblPos val="nextTo"/>
        <c:txPr>
          <a:bodyPr rot="0"/>
          <a:lstStyle/>
          <a:p>
            <a:pPr>
              <a:defRPr/>
            </a:pPr>
            <a:endParaRPr lang="fr-FR"/>
          </a:p>
        </c:txPr>
        <c:crossAx val="155182208"/>
        <c:crosses val="autoZero"/>
        <c:auto val="1"/>
        <c:lblAlgn val="ctr"/>
        <c:lblOffset val="100"/>
        <c:tickLblSkip val="1"/>
      </c:catAx>
      <c:valAx>
        <c:axId val="155182208"/>
        <c:scaling>
          <c:orientation val="minMax"/>
        </c:scaling>
        <c:delete val="1"/>
        <c:axPos val="l"/>
        <c:numFmt formatCode="#,##0.00,,&quot; M€&quot;" sourceLinked="1"/>
        <c:tickLblPos val="none"/>
        <c:crossAx val="155164032"/>
        <c:crosses val="autoZero"/>
        <c:crossBetween val="between"/>
      </c:valAx>
    </c:plotArea>
    <c:dispBlanksAs val="gap"/>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fr-FR"/>
  <c:style val="20"/>
  <c:chart>
    <c:plotArea>
      <c:layout>
        <c:manualLayout>
          <c:layoutTarget val="inner"/>
          <c:xMode val="edge"/>
          <c:yMode val="edge"/>
          <c:x val="0.21044055604160591"/>
          <c:y val="3.1751031121109892E-2"/>
          <c:w val="0.74499173714397426"/>
          <c:h val="0.72397742317611236"/>
        </c:manualLayout>
      </c:layout>
      <c:barChart>
        <c:barDir val="bar"/>
        <c:grouping val="percentStacked"/>
        <c:ser>
          <c:idx val="0"/>
          <c:order val="0"/>
          <c:tx>
            <c:strRef>
              <c:f>'Graphiques 17 &amp; 18'!$B$8</c:f>
              <c:strCache>
                <c:ptCount val="1"/>
                <c:pt idx="0">
                  <c:v>Soins urgents</c:v>
                </c:pt>
              </c:strCache>
            </c:strRef>
          </c:tx>
          <c:cat>
            <c:strRef>
              <c:f>('Graphiques 17 &amp; 18'!$C$36,'Graphiques 17 &amp; 18'!$C$35)</c:f>
              <c:strCache>
                <c:ptCount val="2"/>
                <c:pt idx="0">
                  <c:v>Bénéficiaires = 524 801</c:v>
                </c:pt>
                <c:pt idx="1">
                  <c:v>Dépenses : 211,58 millions d'€</c:v>
                </c:pt>
              </c:strCache>
            </c:strRef>
          </c:cat>
          <c:val>
            <c:numRef>
              <c:f>('Graphiques 17 &amp; 18'!$Q$8,'Graphiques 17 &amp; 18'!$S$8)</c:f>
              <c:numCache>
                <c:formatCode>#,##0</c:formatCode>
                <c:ptCount val="2"/>
                <c:pt idx="0">
                  <c:v>90331</c:v>
                </c:pt>
                <c:pt idx="1">
                  <c:v>21267675.66</c:v>
                </c:pt>
              </c:numCache>
            </c:numRef>
          </c:val>
        </c:ser>
        <c:ser>
          <c:idx val="4"/>
          <c:order val="1"/>
          <c:tx>
            <c:strRef>
              <c:f>'Graphiques 17 &amp; 18'!$B$13</c:f>
              <c:strCache>
                <c:ptCount val="1"/>
                <c:pt idx="0">
                  <c:v>Soins programmés</c:v>
                </c:pt>
              </c:strCache>
            </c:strRef>
          </c:tx>
          <c:cat>
            <c:strRef>
              <c:f>('Graphiques 17 &amp; 18'!$C$36,'Graphiques 17 &amp; 18'!$C$35)</c:f>
              <c:strCache>
                <c:ptCount val="2"/>
                <c:pt idx="0">
                  <c:v>Bénéficiaires = 524 801</c:v>
                </c:pt>
                <c:pt idx="1">
                  <c:v>Dépenses : 211,58 millions d'€</c:v>
                </c:pt>
              </c:strCache>
            </c:strRef>
          </c:cat>
          <c:val>
            <c:numRef>
              <c:f>('Graphiques 17 &amp; 18'!$Q$13,'Graphiques 17 &amp; 18'!$S$13)</c:f>
              <c:numCache>
                <c:formatCode>#,##0</c:formatCode>
                <c:ptCount val="2"/>
                <c:pt idx="0">
                  <c:v>2595</c:v>
                </c:pt>
                <c:pt idx="1">
                  <c:v>7940560.5800000001</c:v>
                </c:pt>
              </c:numCache>
            </c:numRef>
          </c:val>
        </c:ser>
        <c:ser>
          <c:idx val="10"/>
          <c:order val="2"/>
          <c:tx>
            <c:strRef>
              <c:f>'Graphiques 17 &amp; 18'!$B$18</c:f>
              <c:strCache>
                <c:ptCount val="1"/>
                <c:pt idx="0">
                  <c:v>Soins liés à la résidence</c:v>
                </c:pt>
              </c:strCache>
            </c:strRef>
          </c:tx>
          <c:cat>
            <c:strRef>
              <c:f>('Graphiques 17 &amp; 18'!$C$36,'Graphiques 17 &amp; 18'!$C$35)</c:f>
              <c:strCache>
                <c:ptCount val="2"/>
                <c:pt idx="0">
                  <c:v>Bénéficiaires = 524 801</c:v>
                </c:pt>
                <c:pt idx="1">
                  <c:v>Dépenses : 211,58 millions d'€</c:v>
                </c:pt>
              </c:strCache>
            </c:strRef>
          </c:cat>
          <c:val>
            <c:numRef>
              <c:f>('Graphiques 17 &amp; 18'!$Q$18,'Graphiques 17 &amp; 18'!$S$18)</c:f>
              <c:numCache>
                <c:formatCode>#,##0</c:formatCode>
                <c:ptCount val="2"/>
                <c:pt idx="0">
                  <c:v>431875</c:v>
                </c:pt>
                <c:pt idx="1">
                  <c:v>182372368.43643874</c:v>
                </c:pt>
              </c:numCache>
            </c:numRef>
          </c:val>
        </c:ser>
        <c:overlap val="100"/>
        <c:axId val="155264896"/>
        <c:axId val="155266432"/>
      </c:barChart>
      <c:catAx>
        <c:axId val="155264896"/>
        <c:scaling>
          <c:orientation val="minMax"/>
        </c:scaling>
        <c:axPos val="l"/>
        <c:numFmt formatCode="General" sourceLinked="1"/>
        <c:tickLblPos val="nextTo"/>
        <c:txPr>
          <a:bodyPr rot="0" vert="horz"/>
          <a:lstStyle/>
          <a:p>
            <a:pPr>
              <a:defRPr sz="1200"/>
            </a:pPr>
            <a:endParaRPr lang="fr-FR"/>
          </a:p>
        </c:txPr>
        <c:crossAx val="155266432"/>
        <c:crosses val="autoZero"/>
        <c:auto val="1"/>
        <c:lblAlgn val="ctr"/>
        <c:lblOffset val="100"/>
      </c:catAx>
      <c:valAx>
        <c:axId val="155266432"/>
        <c:scaling>
          <c:orientation val="minMax"/>
          <c:min val="0"/>
        </c:scaling>
        <c:axPos val="b"/>
        <c:majorGridlines>
          <c:spPr>
            <a:ln w="3175"/>
          </c:spPr>
        </c:majorGridlines>
        <c:numFmt formatCode="0%" sourceLinked="1"/>
        <c:tickLblPos val="nextTo"/>
        <c:txPr>
          <a:bodyPr rot="0" vert="horz"/>
          <a:lstStyle/>
          <a:p>
            <a:pPr>
              <a:defRPr/>
            </a:pPr>
            <a:endParaRPr lang="fr-FR"/>
          </a:p>
        </c:txPr>
        <c:crossAx val="155264896"/>
        <c:crosses val="autoZero"/>
        <c:crossBetween val="between"/>
      </c:valAx>
      <c:spPr>
        <a:ln w="3175"/>
      </c:spPr>
    </c:plotArea>
    <c:legend>
      <c:legendPos val="b"/>
      <c:layout>
        <c:manualLayout>
          <c:xMode val="edge"/>
          <c:yMode val="edge"/>
          <c:x val="0.14756747485772848"/>
          <c:y val="0.86138875497705636"/>
          <c:w val="0.75738302019178305"/>
          <c:h val="0.11139786098166327"/>
        </c:manualLayout>
      </c:layout>
    </c:legend>
    <c:plotVisOnly val="1"/>
    <c:dispBlanksAs val="gap"/>
  </c:chart>
  <c:spPr>
    <a:ln w="3175">
      <a:solidFill>
        <a:schemeClr val="tx1"/>
      </a:solidFill>
    </a:ln>
  </c:sp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fr-FR"/>
  <c:style val="4"/>
  <c:chart>
    <c:view3D>
      <c:rotX val="30"/>
      <c:perspective val="30"/>
    </c:view3D>
    <c:plotArea>
      <c:layout>
        <c:manualLayout>
          <c:layoutTarget val="inner"/>
          <c:xMode val="edge"/>
          <c:yMode val="edge"/>
          <c:x val="1.1498799616872942E-3"/>
          <c:y val="2.9855126376919491E-2"/>
          <c:w val="0.71338261095741407"/>
          <c:h val="0.8180129990714945"/>
        </c:manualLayout>
      </c:layout>
      <c:pie3DChart>
        <c:varyColors val="1"/>
        <c:ser>
          <c:idx val="0"/>
          <c:order val="0"/>
          <c:dLbls>
            <c:numFmt formatCode="0.0%" sourceLinked="0"/>
            <c:dLblPos val="inEnd"/>
            <c:showPercent val="1"/>
            <c:showLeaderLines val="1"/>
          </c:dLbls>
          <c:cat>
            <c:strRef>
              <c:f>'Graphiques 17 &amp; 18'!$C$23:$C$27</c:f>
              <c:strCache>
                <c:ptCount val="5"/>
                <c:pt idx="0">
                  <c:v>Soins médicaux</c:v>
                </c:pt>
                <c:pt idx="1">
                  <c:v>Soins dentaires</c:v>
                </c:pt>
                <c:pt idx="2">
                  <c:v>Médicaments</c:v>
                </c:pt>
                <c:pt idx="3">
                  <c:v>Hospitalisation</c:v>
                </c:pt>
                <c:pt idx="4">
                  <c:v>Autres prestations</c:v>
                </c:pt>
              </c:strCache>
            </c:strRef>
          </c:cat>
          <c:val>
            <c:numRef>
              <c:f>'Graphiques 17 &amp; 18'!$F$23:$F$27</c:f>
              <c:numCache>
                <c:formatCode>#,##0</c:formatCode>
                <c:ptCount val="5"/>
                <c:pt idx="0">
                  <c:v>33347398.800000001</c:v>
                </c:pt>
                <c:pt idx="1">
                  <c:v>2163380.59</c:v>
                </c:pt>
                <c:pt idx="2">
                  <c:v>12715457.850000001</c:v>
                </c:pt>
                <c:pt idx="3">
                  <c:v>65307917.56000001</c:v>
                </c:pt>
                <c:pt idx="4">
                  <c:v>10591389.079999998</c:v>
                </c:pt>
              </c:numCache>
            </c:numRef>
          </c:val>
        </c:ser>
      </c:pie3DChart>
    </c:plotArea>
    <c:legend>
      <c:legendPos val="r"/>
      <c:layout>
        <c:manualLayout>
          <c:xMode val="edge"/>
          <c:yMode val="edge"/>
          <c:x val="0.70209998631689674"/>
          <c:y val="0.17193419720173123"/>
          <c:w val="0.2850744486323093"/>
          <c:h val="0.67098724864116865"/>
        </c:manualLayout>
      </c:layout>
    </c:legend>
    <c:plotVisOnly val="1"/>
    <c:dispBlanksAs val="zero"/>
  </c:chart>
  <c:spPr>
    <a:ln w="3175">
      <a:solidFill>
        <a:schemeClr val="tx1"/>
      </a:solidFill>
    </a:ln>
  </c:spPr>
  <c:printSettings>
    <c:headerFooter/>
    <c:pageMargins b="0.75000000000001465" l="0.70000000000000062" r="0.70000000000000062" t="0.75000000000001465"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lang val="fr-FR"/>
  <c:style val="26"/>
  <c:chart>
    <c:plotArea>
      <c:layout>
        <c:manualLayout>
          <c:layoutTarget val="inner"/>
          <c:xMode val="edge"/>
          <c:yMode val="edge"/>
          <c:x val="0.27844663167104688"/>
          <c:y val="5.0925925925925923E-2"/>
          <c:w val="0.67358814523184607"/>
          <c:h val="0.79869969378831174"/>
        </c:manualLayout>
      </c:layout>
      <c:barChart>
        <c:barDir val="bar"/>
        <c:grouping val="clustered"/>
        <c:ser>
          <c:idx val="0"/>
          <c:order val="0"/>
          <c:dPt>
            <c:idx val="0"/>
            <c:spPr>
              <a:solidFill>
                <a:srgbClr val="F79646"/>
              </a:solidFill>
            </c:spPr>
          </c:dPt>
          <c:dPt>
            <c:idx val="1"/>
            <c:spPr>
              <a:solidFill>
                <a:schemeClr val="accent3"/>
              </a:solidFill>
            </c:spPr>
          </c:dPt>
          <c:dPt>
            <c:idx val="2"/>
            <c:spPr>
              <a:solidFill>
                <a:srgbClr val="00B0F0"/>
              </a:solidFill>
            </c:spPr>
          </c:dPt>
          <c:dPt>
            <c:idx val="3"/>
            <c:spPr>
              <a:solidFill>
                <a:srgbClr val="FFC000"/>
              </a:solidFill>
            </c:spPr>
          </c:dPt>
          <c:dLbls>
            <c:dLbl>
              <c:idx val="0"/>
              <c:numFmt formatCode="#,##0\ \€" sourceLinked="0"/>
              <c:spPr/>
              <c:txPr>
                <a:bodyPr/>
                <a:lstStyle/>
                <a:p>
                  <a:pPr>
                    <a:defRPr/>
                  </a:pPr>
                  <a:endParaRPr lang="fr-FR"/>
                </a:p>
              </c:txPr>
            </c:dLbl>
            <c:dLbl>
              <c:idx val="1"/>
              <c:numFmt formatCode="#,##0\ \€" sourceLinked="0"/>
              <c:spPr/>
              <c:txPr>
                <a:bodyPr/>
                <a:lstStyle/>
                <a:p>
                  <a:pPr>
                    <a:defRPr/>
                  </a:pPr>
                  <a:endParaRPr lang="fr-FR"/>
                </a:p>
              </c:txPr>
            </c:dLbl>
            <c:dLbl>
              <c:idx val="2"/>
              <c:numFmt formatCode="#,##0\ \€" sourceLinked="0"/>
              <c:spPr/>
              <c:txPr>
                <a:bodyPr/>
                <a:lstStyle/>
                <a:p>
                  <a:pPr>
                    <a:defRPr/>
                  </a:pPr>
                  <a:endParaRPr lang="fr-FR"/>
                </a:p>
              </c:txPr>
            </c:dLbl>
            <c:dLbl>
              <c:idx val="3"/>
              <c:numFmt formatCode="#,##0\ \€" sourceLinked="0"/>
              <c:spPr/>
              <c:txPr>
                <a:bodyPr/>
                <a:lstStyle/>
                <a:p>
                  <a:pPr>
                    <a:defRPr/>
                  </a:pPr>
                  <a:endParaRPr lang="fr-FR"/>
                </a:p>
              </c:txPr>
            </c:dLbl>
            <c:numFmt formatCode="#,##0\ \€" sourceLinked="0"/>
            <c:dLblPos val="inEnd"/>
            <c:showVal val="1"/>
          </c:dLbls>
          <c:cat>
            <c:strRef>
              <c:f>'Graphiques 17 &amp; 18'!$B$86:$B$89</c:f>
              <c:strCache>
                <c:ptCount val="4"/>
                <c:pt idx="0">
                  <c:v>Tous type de soins</c:v>
                </c:pt>
                <c:pt idx="1">
                  <c:v>Soins liés à la résidence</c:v>
                </c:pt>
                <c:pt idx="2">
                  <c:v>Soins programmés</c:v>
                </c:pt>
                <c:pt idx="3">
                  <c:v>Soins urgents</c:v>
                </c:pt>
              </c:strCache>
            </c:strRef>
          </c:cat>
          <c:val>
            <c:numRef>
              <c:f>'Graphiques 17 &amp; 18'!$C$86:$C$89</c:f>
              <c:numCache>
                <c:formatCode>#,##0\ "€"</c:formatCode>
                <c:ptCount val="4"/>
                <c:pt idx="0">
                  <c:v>403.1634937365568</c:v>
                </c:pt>
                <c:pt idx="1">
                  <c:v>422.28044789913457</c:v>
                </c:pt>
                <c:pt idx="2">
                  <c:v>3059.9462736030828</c:v>
                </c:pt>
                <c:pt idx="3" formatCode="#,##0.0\ &quot;€&quot;">
                  <c:v>235.44160542892251</c:v>
                </c:pt>
              </c:numCache>
            </c:numRef>
          </c:val>
        </c:ser>
        <c:gapWidth val="80"/>
        <c:overlap val="100"/>
        <c:axId val="155443584"/>
        <c:axId val="155445120"/>
      </c:barChart>
      <c:catAx>
        <c:axId val="155443584"/>
        <c:scaling>
          <c:orientation val="minMax"/>
        </c:scaling>
        <c:axPos val="l"/>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55445120"/>
        <c:crosses val="autoZero"/>
        <c:auto val="1"/>
        <c:lblAlgn val="ctr"/>
        <c:lblOffset val="100"/>
      </c:catAx>
      <c:valAx>
        <c:axId val="155445120"/>
        <c:scaling>
          <c:orientation val="minMax"/>
        </c:scaling>
        <c:axPos val="b"/>
        <c:majorGridlines>
          <c:spPr>
            <a:ln>
              <a:prstDash val="dash"/>
            </a:ln>
          </c:spPr>
        </c:majorGridlines>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55443584"/>
        <c:crosses val="autoZero"/>
        <c:crossBetween val="between"/>
      </c:valAx>
      <c:spPr>
        <a:ln>
          <a:solidFill>
            <a:schemeClr val="bg1">
              <a:lumMod val="75000"/>
            </a:schemeClr>
          </a:solidFill>
        </a:ln>
      </c:spPr>
    </c:plotArea>
    <c:dispBlanksAs val="gap"/>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style val="40"/>
  <c:chart>
    <c:view3D>
      <c:rotX val="30"/>
      <c:perspective val="30"/>
    </c:view3D>
    <c:plotArea>
      <c:layout>
        <c:manualLayout>
          <c:layoutTarget val="inner"/>
          <c:xMode val="edge"/>
          <c:yMode val="edge"/>
          <c:x val="0.16750824503735812"/>
          <c:y val="6.2154495905883934E-2"/>
          <c:w val="0.64568069936335248"/>
          <c:h val="0.74305446302618494"/>
        </c:manualLayout>
      </c:layout>
      <c:pie3DChart>
        <c:varyColors val="1"/>
        <c:ser>
          <c:idx val="0"/>
          <c:order val="0"/>
          <c:dLbls>
            <c:dLbl>
              <c:idx val="4"/>
              <c:layout>
                <c:manualLayout>
                  <c:x val="1.1904764136626203E-2"/>
                  <c:y val="-1.2487610716926514E-2"/>
                </c:manualLayout>
              </c:layout>
              <c:dLblPos val="bestFit"/>
              <c:showPercent val="1"/>
            </c:dLbl>
            <c:dLbl>
              <c:idx val="5"/>
              <c:layout>
                <c:manualLayout>
                  <c:x val="3.5714292409878612E-2"/>
                  <c:y val="0"/>
                </c:manualLayout>
              </c:layout>
              <c:dLblPos val="bestFit"/>
              <c:showPercent val="1"/>
            </c:dLbl>
            <c:numFmt formatCode="0.0%" sourceLinked="0"/>
            <c:txPr>
              <a:bodyPr/>
              <a:lstStyle/>
              <a:p>
                <a:pPr>
                  <a:defRPr sz="1200"/>
                </a:pPr>
                <a:endParaRPr lang="fr-FR"/>
              </a:p>
            </c:txPr>
            <c:dLblPos val="outEnd"/>
            <c:showPercent val="1"/>
            <c:showLeaderLines val="1"/>
          </c:dLbls>
          <c:cat>
            <c:strRef>
              <c:f>'Tab. 4 et Graphs 9 &amp; 10'!$B$25:$B$30</c:f>
              <c:strCache>
                <c:ptCount val="6"/>
                <c:pt idx="0">
                  <c:v>CNSE - coordination</c:v>
                </c:pt>
                <c:pt idx="1">
                  <c:v>CNSE (Régime général)</c:v>
                </c:pt>
                <c:pt idx="2">
                  <c:v>MGEN (Fonctionnaires)</c:v>
                </c:pt>
                <c:pt idx="3">
                  <c:v>Conventions transfrontalières</c:v>
                </c:pt>
                <c:pt idx="4">
                  <c:v>Sécurité sociale des indépendants (ex-RSI)</c:v>
                </c:pt>
                <c:pt idx="5">
                  <c:v>Autres</c:v>
                </c:pt>
              </c:strCache>
            </c:strRef>
          </c:cat>
          <c:val>
            <c:numRef>
              <c:f>'Tab. 4 et Graphs 9 &amp; 10'!$C$25:$C$30</c:f>
              <c:numCache>
                <c:formatCode>General</c:formatCode>
                <c:ptCount val="6"/>
                <c:pt idx="0">
                  <c:v>648431</c:v>
                </c:pt>
                <c:pt idx="1">
                  <c:v>250198</c:v>
                </c:pt>
                <c:pt idx="2">
                  <c:v>37083</c:v>
                </c:pt>
                <c:pt idx="3">
                  <c:v>22162</c:v>
                </c:pt>
                <c:pt idx="4">
                  <c:v>17467</c:v>
                </c:pt>
                <c:pt idx="5">
                  <c:v>8362</c:v>
                </c:pt>
              </c:numCache>
            </c:numRef>
          </c:val>
        </c:ser>
      </c:pie3DChart>
    </c:plotArea>
    <c:legend>
      <c:legendPos val="b"/>
      <c:layout>
        <c:manualLayout>
          <c:xMode val="edge"/>
          <c:yMode val="edge"/>
          <c:x val="4.6787238409318525E-2"/>
          <c:y val="0.81809549842938134"/>
          <c:w val="0.89999987350981336"/>
          <c:h val="0.15526754296262538"/>
        </c:manualLayout>
      </c:layout>
      <c:txPr>
        <a:bodyPr/>
        <a:lstStyle/>
        <a:p>
          <a:pPr>
            <a:defRPr sz="1100"/>
          </a:pPr>
          <a:endParaRPr lang="fr-FR"/>
        </a:p>
      </c:txPr>
    </c:legend>
    <c:dispBlanksAs val="zero"/>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fr-FR"/>
  <c:style val="32"/>
  <c:chart>
    <c:view3D>
      <c:rotX val="30"/>
      <c:perspective val="30"/>
    </c:view3D>
    <c:plotArea>
      <c:layout>
        <c:manualLayout>
          <c:layoutTarget val="inner"/>
          <c:xMode val="edge"/>
          <c:yMode val="edge"/>
          <c:x val="9.2305734510458922E-3"/>
          <c:y val="0.11909412509207112"/>
          <c:w val="0.71338261095741407"/>
          <c:h val="0.8180129990714945"/>
        </c:manualLayout>
      </c:layout>
      <c:pie3DChart>
        <c:varyColors val="1"/>
        <c:ser>
          <c:idx val="0"/>
          <c:order val="0"/>
          <c:dLbls>
            <c:dLblPos val="inEnd"/>
            <c:showPercent val="1"/>
          </c:dLbls>
          <c:cat>
            <c:strRef>
              <c:f>'Graphique 11'!$B$37:$B$42</c:f>
              <c:strCache>
                <c:ptCount val="6"/>
                <c:pt idx="0">
                  <c:v>Belgique</c:v>
                </c:pt>
                <c:pt idx="1">
                  <c:v>Portugal</c:v>
                </c:pt>
                <c:pt idx="2">
                  <c:v>Espagne</c:v>
                </c:pt>
                <c:pt idx="3">
                  <c:v>Allemagne</c:v>
                </c:pt>
                <c:pt idx="4">
                  <c:v>Suisse</c:v>
                </c:pt>
                <c:pt idx="5">
                  <c:v>Autres pays</c:v>
                </c:pt>
              </c:strCache>
            </c:strRef>
          </c:cat>
          <c:val>
            <c:numRef>
              <c:f>'Graphique 11'!$C$37:$C$42</c:f>
              <c:numCache>
                <c:formatCode>_-* #,##0\ _€_-;\-* #,##0\ _€_-;_-* "-"??\ _€_-;_-@_-</c:formatCode>
                <c:ptCount val="6"/>
                <c:pt idx="0">
                  <c:v>135216</c:v>
                </c:pt>
                <c:pt idx="1">
                  <c:v>104654</c:v>
                </c:pt>
                <c:pt idx="2">
                  <c:v>76978</c:v>
                </c:pt>
                <c:pt idx="3">
                  <c:v>47508</c:v>
                </c:pt>
                <c:pt idx="4">
                  <c:v>22543</c:v>
                </c:pt>
                <c:pt idx="5">
                  <c:v>72003</c:v>
                </c:pt>
              </c:numCache>
            </c:numRef>
          </c:val>
        </c:ser>
        <c:dLbls>
          <c:showVal val="1"/>
        </c:dLbls>
      </c:pie3DChart>
    </c:plotArea>
    <c:legend>
      <c:legendPos val="r"/>
      <c:layout>
        <c:manualLayout>
          <c:xMode val="edge"/>
          <c:yMode val="edge"/>
          <c:x val="0.70209987042760846"/>
          <c:y val="0.17193406160198371"/>
          <c:w val="0.28507445430081463"/>
          <c:h val="0.67098731235672171"/>
        </c:manualLayout>
      </c:layout>
    </c:legend>
    <c:dispBlanksAs val="zero"/>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fr-FR"/>
  <c:style val="8"/>
  <c:chart>
    <c:plotArea>
      <c:layout/>
      <c:barChart>
        <c:barDir val="col"/>
        <c:grouping val="clustered"/>
        <c:ser>
          <c:idx val="0"/>
          <c:order val="0"/>
          <c:dPt>
            <c:idx val="0"/>
            <c:spPr>
              <a:solidFill>
                <a:schemeClr val="accent6">
                  <a:lumMod val="75000"/>
                </a:schemeClr>
              </a:solidFill>
            </c:spPr>
          </c:dPt>
          <c:dLbls>
            <c:numFmt formatCode="#,##0" sourceLinked="0"/>
            <c:txPr>
              <a:bodyPr rot="0" vert="horz"/>
              <a:lstStyle/>
              <a:p>
                <a:pPr>
                  <a:defRPr/>
                </a:pPr>
                <a:endParaRPr lang="fr-FR"/>
              </a:p>
            </c:txPr>
            <c:dLblPos val="outEnd"/>
            <c:showVal val="1"/>
          </c:dLbls>
          <c:cat>
            <c:strRef>
              <c:f>'Graphique 11'!$B$37:$B$41</c:f>
              <c:strCache>
                <c:ptCount val="5"/>
                <c:pt idx="0">
                  <c:v>Belgique</c:v>
                </c:pt>
                <c:pt idx="1">
                  <c:v>Portugal</c:v>
                </c:pt>
                <c:pt idx="2">
                  <c:v>Espagne</c:v>
                </c:pt>
                <c:pt idx="3">
                  <c:v>Allemagne</c:v>
                </c:pt>
                <c:pt idx="4">
                  <c:v>Suisse</c:v>
                </c:pt>
              </c:strCache>
            </c:strRef>
          </c:cat>
          <c:val>
            <c:numRef>
              <c:f>'Graphique 11'!$C$37:$C$41</c:f>
              <c:numCache>
                <c:formatCode>_-* #,##0\ _€_-;\-* #,##0\ _€_-;_-* "-"??\ _€_-;_-@_-</c:formatCode>
                <c:ptCount val="5"/>
                <c:pt idx="0">
                  <c:v>135216</c:v>
                </c:pt>
                <c:pt idx="1">
                  <c:v>104654</c:v>
                </c:pt>
                <c:pt idx="2">
                  <c:v>76978</c:v>
                </c:pt>
                <c:pt idx="3">
                  <c:v>47508</c:v>
                </c:pt>
                <c:pt idx="4">
                  <c:v>22543</c:v>
                </c:pt>
              </c:numCache>
            </c:numRef>
          </c:val>
        </c:ser>
        <c:gapWidth val="76"/>
        <c:axId val="153620864"/>
        <c:axId val="153622400"/>
      </c:barChart>
      <c:catAx>
        <c:axId val="153620864"/>
        <c:scaling>
          <c:orientation val="minMax"/>
        </c:scaling>
        <c:axPos val="b"/>
        <c:numFmt formatCode="General" sourceLinked="1"/>
        <c:tickLblPos val="nextTo"/>
        <c:crossAx val="153622400"/>
        <c:crosses val="autoZero"/>
        <c:auto val="1"/>
        <c:lblAlgn val="ctr"/>
        <c:lblOffset val="100"/>
      </c:catAx>
      <c:valAx>
        <c:axId val="153622400"/>
        <c:scaling>
          <c:orientation val="minMax"/>
        </c:scaling>
        <c:delete val="1"/>
        <c:axPos val="l"/>
        <c:numFmt formatCode="_-* #,##0\ _€_-;\-* #,##0\ _€_-;_-* &quot;-&quot;??\ _€_-;_-@_-" sourceLinked="1"/>
        <c:tickLblPos val="none"/>
        <c:crossAx val="153620864"/>
        <c:crosses val="autoZero"/>
        <c:crossBetween val="between"/>
      </c:valAx>
      <c:spPr>
        <a:ln>
          <a:noFill/>
        </a:ln>
      </c:spPr>
    </c:plotArea>
    <c:dispBlanksAs val="gap"/>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fr-FR"/>
  <c:style val="32"/>
  <c:chart>
    <c:view3D>
      <c:rotX val="30"/>
      <c:perspective val="30"/>
    </c:view3D>
    <c:plotArea>
      <c:layout>
        <c:manualLayout>
          <c:layoutTarget val="inner"/>
          <c:xMode val="edge"/>
          <c:yMode val="edge"/>
          <c:x val="1.1498799616873189E-3"/>
          <c:y val="0.11909416281642519"/>
          <c:w val="0.71338261095741407"/>
          <c:h val="0.8180129990714945"/>
        </c:manualLayout>
      </c:layout>
      <c:pie3DChart>
        <c:varyColors val="1"/>
        <c:ser>
          <c:idx val="0"/>
          <c:order val="0"/>
          <c:dLbls>
            <c:dLblPos val="inEnd"/>
            <c:showPercent val="1"/>
          </c:dLbls>
          <c:cat>
            <c:strRef>
              <c:f>'Graphique 12'!$B$37:$B$42</c:f>
              <c:strCache>
                <c:ptCount val="6"/>
                <c:pt idx="0">
                  <c:v>Belgique</c:v>
                </c:pt>
                <c:pt idx="1">
                  <c:v>Allemagne</c:v>
                </c:pt>
                <c:pt idx="2">
                  <c:v>Suisse</c:v>
                </c:pt>
                <c:pt idx="3">
                  <c:v>Espagne</c:v>
                </c:pt>
                <c:pt idx="4">
                  <c:v>Portugal</c:v>
                </c:pt>
                <c:pt idx="5">
                  <c:v>Autres pays</c:v>
                </c:pt>
              </c:strCache>
            </c:strRef>
          </c:cat>
          <c:val>
            <c:numRef>
              <c:f>'Graphique 12'!$C$37:$C$42</c:f>
              <c:numCache>
                <c:formatCode>#,##0.00,," M€"</c:formatCode>
                <c:ptCount val="6"/>
                <c:pt idx="0">
                  <c:v>203472624.97000003</c:v>
                </c:pt>
                <c:pt idx="1">
                  <c:v>39722204.337693237</c:v>
                </c:pt>
                <c:pt idx="2">
                  <c:v>31445584.461096823</c:v>
                </c:pt>
                <c:pt idx="3">
                  <c:v>26206352.609999999</c:v>
                </c:pt>
                <c:pt idx="4">
                  <c:v>22129684.559999999</c:v>
                </c:pt>
                <c:pt idx="5">
                  <c:v>40388450.536557421</c:v>
                </c:pt>
              </c:numCache>
            </c:numRef>
          </c:val>
        </c:ser>
        <c:dLbls>
          <c:showVal val="1"/>
        </c:dLbls>
      </c:pie3DChart>
    </c:plotArea>
    <c:legend>
      <c:legendPos val="r"/>
      <c:layout>
        <c:manualLayout>
          <c:xMode val="edge"/>
          <c:yMode val="edge"/>
          <c:x val="0.70209998869760004"/>
          <c:y val="0.17193406160198371"/>
          <c:w val="0.28507428198270768"/>
          <c:h val="0.67098731235672171"/>
        </c:manualLayout>
      </c:layout>
    </c:legend>
    <c:dispBlanksAs val="zero"/>
  </c:chart>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fr-FR"/>
  <c:style val="8"/>
  <c:chart>
    <c:plotArea>
      <c:layout>
        <c:manualLayout>
          <c:layoutTarget val="inner"/>
          <c:xMode val="edge"/>
          <c:yMode val="edge"/>
          <c:x val="2.746566791510632E-2"/>
          <c:y val="4.8661800486617855E-2"/>
          <c:w val="0.94506866416978774"/>
          <c:h val="0.82456616280628636"/>
        </c:manualLayout>
      </c:layout>
      <c:barChart>
        <c:barDir val="col"/>
        <c:grouping val="clustered"/>
        <c:ser>
          <c:idx val="0"/>
          <c:order val="0"/>
          <c:dPt>
            <c:idx val="0"/>
            <c:spPr>
              <a:solidFill>
                <a:schemeClr val="accent6">
                  <a:lumMod val="75000"/>
                </a:schemeClr>
              </a:solidFill>
            </c:spPr>
          </c:dPt>
          <c:dLbls>
            <c:dLblPos val="outEnd"/>
            <c:showVal val="1"/>
          </c:dLbls>
          <c:cat>
            <c:strRef>
              <c:f>'Graphique 12'!$B$37:$B$41</c:f>
              <c:strCache>
                <c:ptCount val="5"/>
                <c:pt idx="0">
                  <c:v>Belgique</c:v>
                </c:pt>
                <c:pt idx="1">
                  <c:v>Allemagne</c:v>
                </c:pt>
                <c:pt idx="2">
                  <c:v>Suisse</c:v>
                </c:pt>
                <c:pt idx="3">
                  <c:v>Espagne</c:v>
                </c:pt>
                <c:pt idx="4">
                  <c:v>Portugal</c:v>
                </c:pt>
              </c:strCache>
            </c:strRef>
          </c:cat>
          <c:val>
            <c:numRef>
              <c:f>'Graphique 12'!$C$37:$C$41</c:f>
              <c:numCache>
                <c:formatCode>#,##0.00,," M€"</c:formatCode>
                <c:ptCount val="5"/>
                <c:pt idx="0">
                  <c:v>203472624.97000003</c:v>
                </c:pt>
                <c:pt idx="1">
                  <c:v>39722204.337693237</c:v>
                </c:pt>
                <c:pt idx="2">
                  <c:v>31445584.461096823</c:v>
                </c:pt>
                <c:pt idx="3">
                  <c:v>26206352.609999999</c:v>
                </c:pt>
                <c:pt idx="4">
                  <c:v>22129684.559999999</c:v>
                </c:pt>
              </c:numCache>
            </c:numRef>
          </c:val>
        </c:ser>
        <c:gapWidth val="76"/>
        <c:axId val="153712512"/>
        <c:axId val="153714048"/>
      </c:barChart>
      <c:catAx>
        <c:axId val="153712512"/>
        <c:scaling>
          <c:orientation val="minMax"/>
        </c:scaling>
        <c:axPos val="b"/>
        <c:numFmt formatCode="General" sourceLinked="1"/>
        <c:tickLblPos val="nextTo"/>
        <c:crossAx val="153714048"/>
        <c:crosses val="autoZero"/>
        <c:auto val="1"/>
        <c:lblAlgn val="ctr"/>
        <c:lblOffset val="100"/>
      </c:catAx>
      <c:valAx>
        <c:axId val="153714048"/>
        <c:scaling>
          <c:orientation val="minMax"/>
        </c:scaling>
        <c:delete val="1"/>
        <c:axPos val="l"/>
        <c:numFmt formatCode="#,##0.00,,&quot; M€&quot;" sourceLinked="1"/>
        <c:tickLblPos val="none"/>
        <c:crossAx val="153712512"/>
        <c:crosses val="autoZero"/>
        <c:crossBetween val="between"/>
      </c:valAx>
    </c:plotArea>
    <c:dispBlanksAs val="gap"/>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fr-FR"/>
  <c:style val="24"/>
  <c:chart>
    <c:plotArea>
      <c:layout>
        <c:manualLayout>
          <c:layoutTarget val="inner"/>
          <c:xMode val="edge"/>
          <c:yMode val="edge"/>
          <c:x val="0.27841012487064942"/>
          <c:y val="3.1751031121109892E-2"/>
          <c:w val="0.67601115932033695"/>
          <c:h val="0.72397742317611213"/>
        </c:manualLayout>
      </c:layout>
      <c:barChart>
        <c:barDir val="bar"/>
        <c:grouping val="percentStacked"/>
        <c:ser>
          <c:idx val="0"/>
          <c:order val="0"/>
          <c:tx>
            <c:strRef>
              <c:f>'Graphiques 13 &amp; 14'!$B$8</c:f>
              <c:strCache>
                <c:ptCount val="1"/>
                <c:pt idx="0">
                  <c:v>Soins médicalement nécessaires</c:v>
                </c:pt>
              </c:strCache>
            </c:strRef>
          </c:tx>
          <c:cat>
            <c:strRef>
              <c:f>('Graphiques 13 &amp; 14'!$B$35,'Graphiques 13 &amp; 14'!$B$34)</c:f>
              <c:strCache>
                <c:ptCount val="2"/>
                <c:pt idx="0">
                  <c:v>Bénéficiaires = 458 902</c:v>
                </c:pt>
                <c:pt idx="1">
                  <c:v>Dépenses : 363,36 millions d'€</c:v>
                </c:pt>
              </c:strCache>
            </c:strRef>
          </c:cat>
          <c:val>
            <c:numRef>
              <c:f>('Graphiques 13 &amp; 14'!$Q$8,'Graphiques 13 &amp; 14'!$S$8)</c:f>
              <c:numCache>
                <c:formatCode>#,##0</c:formatCode>
                <c:ptCount val="2"/>
                <c:pt idx="0">
                  <c:v>323123</c:v>
                </c:pt>
                <c:pt idx="1">
                  <c:v>123168067.42</c:v>
                </c:pt>
              </c:numCache>
            </c:numRef>
          </c:val>
        </c:ser>
        <c:ser>
          <c:idx val="4"/>
          <c:order val="1"/>
          <c:tx>
            <c:strRef>
              <c:f>'Graphiques 13 &amp; 14'!$B$13</c:f>
              <c:strCache>
                <c:ptCount val="1"/>
                <c:pt idx="0">
                  <c:v>Soins programmés</c:v>
                </c:pt>
              </c:strCache>
            </c:strRef>
          </c:tx>
          <c:cat>
            <c:strRef>
              <c:f>('Graphiques 13 &amp; 14'!$B$35,'Graphiques 13 &amp; 14'!$B$34)</c:f>
              <c:strCache>
                <c:ptCount val="2"/>
                <c:pt idx="0">
                  <c:v>Bénéficiaires = 458 902</c:v>
                </c:pt>
                <c:pt idx="1">
                  <c:v>Dépenses : 363,36 millions d'€</c:v>
                </c:pt>
              </c:strCache>
            </c:strRef>
          </c:cat>
          <c:val>
            <c:numRef>
              <c:f>('Graphiques 13 &amp; 14'!$Q$13,'Graphiques 13 &amp; 14'!$S$13)</c:f>
              <c:numCache>
                <c:formatCode>#,##0</c:formatCode>
                <c:ptCount val="2"/>
                <c:pt idx="0">
                  <c:v>75006</c:v>
                </c:pt>
                <c:pt idx="1">
                  <c:v>139635900.65000001</c:v>
                </c:pt>
              </c:numCache>
            </c:numRef>
          </c:val>
        </c:ser>
        <c:ser>
          <c:idx val="10"/>
          <c:order val="2"/>
          <c:tx>
            <c:strRef>
              <c:f>'Graphiques 13 &amp; 14'!$B$18</c:f>
              <c:strCache>
                <c:ptCount val="1"/>
                <c:pt idx="0">
                  <c:v>Soins liés à la résidence</c:v>
                </c:pt>
              </c:strCache>
            </c:strRef>
          </c:tx>
          <c:cat>
            <c:strRef>
              <c:f>('Graphiques 13 &amp; 14'!$B$35,'Graphiques 13 &amp; 14'!$B$34)</c:f>
              <c:strCache>
                <c:ptCount val="2"/>
                <c:pt idx="0">
                  <c:v>Bénéficiaires = 458 902</c:v>
                </c:pt>
                <c:pt idx="1">
                  <c:v>Dépenses : 363,36 millions d'€</c:v>
                </c:pt>
              </c:strCache>
            </c:strRef>
          </c:cat>
          <c:val>
            <c:numRef>
              <c:f>('Graphiques 13 &amp; 14'!$Q$18,'Graphiques 13 &amp; 14'!$S$18)</c:f>
              <c:numCache>
                <c:formatCode>#,##0</c:formatCode>
                <c:ptCount val="2"/>
                <c:pt idx="0">
                  <c:v>60773</c:v>
                </c:pt>
                <c:pt idx="1">
                  <c:v>100560933.40534748</c:v>
                </c:pt>
              </c:numCache>
            </c:numRef>
          </c:val>
        </c:ser>
        <c:overlap val="100"/>
        <c:axId val="153867776"/>
        <c:axId val="153869312"/>
      </c:barChart>
      <c:catAx>
        <c:axId val="153867776"/>
        <c:scaling>
          <c:orientation val="minMax"/>
        </c:scaling>
        <c:axPos val="l"/>
        <c:numFmt formatCode="General" sourceLinked="1"/>
        <c:tickLblPos val="nextTo"/>
        <c:txPr>
          <a:bodyPr rot="0" vert="horz"/>
          <a:lstStyle/>
          <a:p>
            <a:pPr>
              <a:defRPr/>
            </a:pPr>
            <a:endParaRPr lang="fr-FR"/>
          </a:p>
        </c:txPr>
        <c:crossAx val="153869312"/>
        <c:crosses val="autoZero"/>
        <c:auto val="1"/>
        <c:lblAlgn val="ctr"/>
        <c:lblOffset val="100"/>
      </c:catAx>
      <c:valAx>
        <c:axId val="153869312"/>
        <c:scaling>
          <c:orientation val="minMax"/>
          <c:min val="0"/>
        </c:scaling>
        <c:axPos val="b"/>
        <c:majorGridlines/>
        <c:numFmt formatCode="0%" sourceLinked="1"/>
        <c:tickLblPos val="nextTo"/>
        <c:txPr>
          <a:bodyPr rot="0" vert="horz"/>
          <a:lstStyle/>
          <a:p>
            <a:pPr>
              <a:defRPr/>
            </a:pPr>
            <a:endParaRPr lang="fr-FR"/>
          </a:p>
        </c:txPr>
        <c:crossAx val="153867776"/>
        <c:crosses val="autoZero"/>
        <c:crossBetween val="between"/>
      </c:valAx>
    </c:plotArea>
    <c:legend>
      <c:legendPos val="b"/>
      <c:layout>
        <c:manualLayout>
          <c:xMode val="edge"/>
          <c:yMode val="edge"/>
          <c:x val="2.0834801590395281E-2"/>
          <c:y val="0.8659239023693599"/>
          <c:w val="0.94232603102829982"/>
          <c:h val="0.10233006588462146"/>
        </c:manualLayout>
      </c:layout>
    </c:legend>
    <c:plotVisOnly val="1"/>
    <c:dispBlanksAs val="gap"/>
  </c:chart>
  <c:spPr>
    <a:ln w="3175">
      <a:solidFill>
        <a:schemeClr val="tx1"/>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fr-FR"/>
  <c:style val="40"/>
  <c:chart>
    <c:view3D>
      <c:rotX val="30"/>
      <c:perspective val="30"/>
    </c:view3D>
    <c:plotArea>
      <c:layout>
        <c:manualLayout>
          <c:layoutTarget val="inner"/>
          <c:xMode val="edge"/>
          <c:yMode val="edge"/>
          <c:x val="1.1498799616872942E-3"/>
          <c:y val="4.0353814040961923E-2"/>
          <c:w val="0.71338261095741407"/>
          <c:h val="0.8180129990714945"/>
        </c:manualLayout>
      </c:layout>
      <c:pie3DChart>
        <c:varyColors val="1"/>
        <c:ser>
          <c:idx val="0"/>
          <c:order val="0"/>
          <c:dLbls>
            <c:numFmt formatCode="0.0%" sourceLinked="0"/>
            <c:dLblPos val="inEnd"/>
            <c:showPercent val="1"/>
            <c:showLeaderLines val="1"/>
          </c:dLbls>
          <c:cat>
            <c:strRef>
              <c:f>'Graphiques 13 &amp; 14'!$C$23:$C$27</c:f>
              <c:strCache>
                <c:ptCount val="5"/>
                <c:pt idx="0">
                  <c:v>Soins médicaux</c:v>
                </c:pt>
                <c:pt idx="1">
                  <c:v>Soins dentaires</c:v>
                </c:pt>
                <c:pt idx="2">
                  <c:v>Médicaments</c:v>
                </c:pt>
                <c:pt idx="3">
                  <c:v>Hospitalisation</c:v>
                </c:pt>
                <c:pt idx="4">
                  <c:v>Autres prestations</c:v>
                </c:pt>
              </c:strCache>
            </c:strRef>
          </c:cat>
          <c:val>
            <c:numRef>
              <c:f>'Graphiques 13 &amp; 14'!$F$23:$F$27</c:f>
              <c:numCache>
                <c:formatCode>#,##0</c:formatCode>
                <c:ptCount val="5"/>
                <c:pt idx="0">
                  <c:v>72402343.140000015</c:v>
                </c:pt>
                <c:pt idx="1">
                  <c:v>5966825.9299999997</c:v>
                </c:pt>
                <c:pt idx="2">
                  <c:v>21316411.740000002</c:v>
                </c:pt>
                <c:pt idx="3">
                  <c:v>192618818.97000003</c:v>
                </c:pt>
                <c:pt idx="4">
                  <c:v>64337526.829999998</c:v>
                </c:pt>
              </c:numCache>
            </c:numRef>
          </c:val>
        </c:ser>
      </c:pie3DChart>
    </c:plotArea>
    <c:legend>
      <c:legendPos val="r"/>
      <c:layout>
        <c:manualLayout>
          <c:xMode val="edge"/>
          <c:yMode val="edge"/>
          <c:x val="0.70209998631689674"/>
          <c:y val="0.17193419720173123"/>
          <c:w val="0.28507444863230946"/>
          <c:h val="0.67098724864116865"/>
        </c:manualLayout>
      </c:layout>
    </c:legend>
    <c:plotVisOnly val="1"/>
    <c:dispBlanksAs val="zero"/>
  </c:chart>
  <c:spPr>
    <a:ln w="3175">
      <a:solidFill>
        <a:schemeClr val="tx1"/>
      </a:solidFill>
    </a:ln>
  </c:spPr>
  <c:printSettings>
    <c:headerFooter/>
    <c:pageMargins b="0.75000000000001465" l="0.70000000000000062" r="0.70000000000000062" t="0.75000000000001465"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fr-FR"/>
  <c:style val="26"/>
  <c:chart>
    <c:plotArea>
      <c:layout>
        <c:manualLayout>
          <c:layoutTarget val="inner"/>
          <c:xMode val="edge"/>
          <c:yMode val="edge"/>
          <c:x val="0.27844663167104688"/>
          <c:y val="5.0925925925925923E-2"/>
          <c:w val="0.67358814523184607"/>
          <c:h val="0.7986996937883114"/>
        </c:manualLayout>
      </c:layout>
      <c:barChart>
        <c:barDir val="bar"/>
        <c:grouping val="clustered"/>
        <c:ser>
          <c:idx val="0"/>
          <c:order val="0"/>
          <c:dPt>
            <c:idx val="0"/>
            <c:spPr>
              <a:solidFill>
                <a:srgbClr val="F79646"/>
              </a:solidFill>
            </c:spPr>
          </c:dPt>
          <c:dPt>
            <c:idx val="1"/>
            <c:spPr>
              <a:solidFill>
                <a:schemeClr val="accent3"/>
              </a:solidFill>
            </c:spPr>
          </c:dPt>
          <c:dPt>
            <c:idx val="2"/>
            <c:spPr>
              <a:solidFill>
                <a:srgbClr val="00B0F0"/>
              </a:solidFill>
            </c:spPr>
          </c:dPt>
          <c:dPt>
            <c:idx val="3"/>
            <c:spPr>
              <a:solidFill>
                <a:srgbClr val="FFC000"/>
              </a:solidFill>
            </c:spPr>
          </c:dPt>
          <c:dLbls>
            <c:dLbl>
              <c:idx val="2"/>
              <c:layout>
                <c:manualLayout>
                  <c:x val="-0.11666666666666672"/>
                  <c:y val="4.0470466992387837E-17"/>
                </c:manualLayout>
              </c:layout>
              <c:spPr/>
              <c:txPr>
                <a:bodyPr/>
                <a:lstStyle/>
                <a:p>
                  <a:pPr>
                    <a:defRPr/>
                  </a:pPr>
                  <a:endParaRPr lang="fr-FR"/>
                </a:p>
              </c:txPr>
              <c:dLblPos val="outEnd"/>
              <c:showVal val="1"/>
            </c:dLbl>
            <c:showVal val="1"/>
          </c:dLbls>
          <c:cat>
            <c:strRef>
              <c:f>'Graphiques 13 &amp; 14'!$B$83:$B$86</c:f>
              <c:strCache>
                <c:ptCount val="4"/>
                <c:pt idx="0">
                  <c:v>Tous type de soins</c:v>
                </c:pt>
                <c:pt idx="1">
                  <c:v>Soins liés à la résidence</c:v>
                </c:pt>
                <c:pt idx="2">
                  <c:v>Soins programmés</c:v>
                </c:pt>
                <c:pt idx="3">
                  <c:v>Soins médicalement nécessaires</c:v>
                </c:pt>
              </c:strCache>
            </c:strRef>
          </c:cat>
          <c:val>
            <c:numRef>
              <c:f>'Graphiques 13 &amp; 14'!$C$83:$C$86</c:f>
              <c:numCache>
                <c:formatCode>#,##0\ "€"</c:formatCode>
                <c:ptCount val="4"/>
                <c:pt idx="0">
                  <c:v>791.81372379145762</c:v>
                </c:pt>
                <c:pt idx="1">
                  <c:v>1654.6975368230544</c:v>
                </c:pt>
                <c:pt idx="2">
                  <c:v>1861.6630756206171</c:v>
                </c:pt>
                <c:pt idx="3">
                  <c:v>381.18013084800526</c:v>
                </c:pt>
              </c:numCache>
            </c:numRef>
          </c:val>
        </c:ser>
        <c:gapWidth val="80"/>
        <c:overlap val="100"/>
        <c:axId val="154024576"/>
        <c:axId val="154026368"/>
      </c:barChart>
      <c:catAx>
        <c:axId val="154024576"/>
        <c:scaling>
          <c:orientation val="minMax"/>
        </c:scaling>
        <c:axPos val="l"/>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54026368"/>
        <c:crosses val="autoZero"/>
        <c:auto val="1"/>
        <c:lblAlgn val="ctr"/>
        <c:lblOffset val="100"/>
      </c:catAx>
      <c:valAx>
        <c:axId val="154026368"/>
        <c:scaling>
          <c:orientation val="minMax"/>
          <c:min val="0"/>
        </c:scaling>
        <c:axPos val="b"/>
        <c:majorGridlines>
          <c:spPr>
            <a:ln>
              <a:prstDash val="dash"/>
            </a:ln>
          </c:spPr>
        </c:majorGridlines>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54024576"/>
        <c:crosses val="autoZero"/>
        <c:crossBetween val="between"/>
      </c:valAx>
      <c:spPr>
        <a:ln>
          <a:solidFill>
            <a:schemeClr val="bg1">
              <a:lumMod val="75000"/>
            </a:schemeClr>
          </a:solidFill>
        </a:ln>
      </c:spPr>
    </c:plotArea>
    <c:dispBlanksAs val="gap"/>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1465" l="0.70000000000000062" r="0.70000000000000062" t="0.75000000000001465" header="0.30000000000000032" footer="0.30000000000000032"/>
    <c:pageSetup/>
  </c:printSettings>
</c:chartSpace>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800100</xdr:colOff>
      <xdr:row>39</xdr:row>
      <xdr:rowOff>0</xdr:rowOff>
    </xdr:from>
    <xdr:to>
      <xdr:col>16</xdr:col>
      <xdr:colOff>0</xdr:colOff>
      <xdr:row>49</xdr:row>
      <xdr:rowOff>0</xdr:rowOff>
    </xdr:to>
    <xdr:sp macro="" textlink="">
      <xdr:nvSpPr>
        <xdr:cNvPr id="2" name="ZoneTexte 1"/>
        <xdr:cNvSpPr txBox="1"/>
      </xdr:nvSpPr>
      <xdr:spPr>
        <a:xfrm>
          <a:off x="8143875" y="7648575"/>
          <a:ext cx="8324850" cy="19050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r>
            <a:rPr lang="fr-FR" sz="1400" b="1"/>
            <a:t>IMPORTANT !!!</a:t>
          </a:r>
        </a:p>
        <a:p>
          <a:pPr algn="just"/>
          <a:r>
            <a:rPr lang="fr-FR" sz="1100"/>
            <a:t>Le CNSE,</a:t>
          </a:r>
          <a:r>
            <a:rPr lang="fr-FR" sz="1100" baseline="0"/>
            <a:t> dans les données qu'il transmet au Cleiss et que le Cleiss prend en compte dans son rapport statistique annuel, inclut l</a:t>
          </a:r>
          <a:r>
            <a:rPr lang="fr-FR" sz="1100" baseline="0" smtClean="0">
              <a:solidFill>
                <a:schemeClr val="dk1"/>
              </a:solidFill>
              <a:latin typeface="+mn-lt"/>
              <a:ea typeface="+mn-ea"/>
              <a:cs typeface="+mn-cs"/>
            </a:rPr>
            <a:t>es factures de placements en établissements non conventionnés des personnes handicapées adultes dans les soins programmés en hospitalisation (voir rapport d'activité du CNSE). Cependant le CNSE (Audrey) par communication téléphonique du 22/3/2019 me précise que les pays autres que Belgique et Allemagne figurant en "Placements à l'étranger" sont en fait des soins inopinés. D'après la Cour des Comptes, les montants pour les placements en Belgique et en suisse  ne sont pas à être considérés, comme le fait le CNSE, comme des "soins de santé programmés". </a:t>
          </a:r>
          <a:r>
            <a:rPr lang="fr-FR" sz="1100" b="1" u="sng" baseline="0" smtClean="0">
              <a:solidFill>
                <a:schemeClr val="dk1"/>
              </a:solidFill>
              <a:latin typeface="+mn-lt"/>
              <a:ea typeface="+mn-ea"/>
              <a:cs typeface="+mn-cs"/>
            </a:rPr>
            <a:t>Il faut donc les exclure.</a:t>
          </a:r>
        </a:p>
        <a:p>
          <a:pPr algn="just"/>
          <a:endParaRPr lang="fr-FR" sz="1100" b="1" u="sng" baseline="0" smtClean="0">
            <a:solidFill>
              <a:schemeClr val="dk1"/>
            </a:solidFill>
            <a:latin typeface="+mn-lt"/>
            <a:ea typeface="+mn-ea"/>
            <a:cs typeface="+mn-cs"/>
          </a:endParaRPr>
        </a:p>
        <a:p>
          <a:pPr algn="just"/>
          <a:r>
            <a:rPr lang="fr-FR" sz="1100" b="0" u="none" baseline="0" smtClean="0">
              <a:solidFill>
                <a:schemeClr val="dk1"/>
              </a:solidFill>
              <a:latin typeface="+mn-lt"/>
              <a:ea typeface="+mn-ea"/>
              <a:cs typeface="+mn-cs"/>
            </a:rPr>
            <a:t>C'est pourquoi dans le tableau ci-dessus dans les cellules "Belgique" et "Suisse" pour les "</a:t>
          </a:r>
          <a:r>
            <a:rPr lang="fr-FR" sz="1100" b="0" u="sng" baseline="0" smtClean="0">
              <a:solidFill>
                <a:schemeClr val="dk1"/>
              </a:solidFill>
              <a:latin typeface="+mn-lt"/>
              <a:ea typeface="+mn-ea"/>
              <a:cs typeface="+mn-cs"/>
            </a:rPr>
            <a:t>Soins programmés - hospitalisation et bénéficiaires</a:t>
          </a:r>
          <a:r>
            <a:rPr lang="fr-FR" sz="1100" b="0" u="none" baseline="0" smtClean="0">
              <a:solidFill>
                <a:schemeClr val="dk1"/>
              </a:solidFill>
              <a:latin typeface="+mn-lt"/>
              <a:ea typeface="+mn-ea"/>
              <a:cs typeface="+mn-cs"/>
            </a:rPr>
            <a:t>" sont déduits "manuellement" les nombre et montant d</a:t>
          </a:r>
          <a:r>
            <a:rPr lang="fr-FR" sz="1100" baseline="0">
              <a:solidFill>
                <a:schemeClr val="dk1"/>
              </a:solidFill>
              <a:latin typeface="+mn-lt"/>
              <a:ea typeface="+mn-ea"/>
              <a:cs typeface="+mn-cs"/>
            </a:rPr>
            <a:t>es factures des placements que l'on trouve ci-dessous et dans le rapport du CNSE.</a:t>
          </a:r>
          <a:endParaRPr lang="fr-FR" sz="1100" b="1" u="sng"/>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0.01422</cdr:x>
      <cdr:y>0.83858</cdr:y>
    </cdr:from>
    <cdr:to>
      <cdr:x>0.5391</cdr:x>
      <cdr:y>0.99174</cdr:y>
    </cdr:to>
    <cdr:sp macro="" textlink="'Graphiques 13 &amp; 14'!$B$53">
      <cdr:nvSpPr>
        <cdr:cNvPr id="2" name="ZoneTexte 1"/>
        <cdr:cNvSpPr txBox="1"/>
      </cdr:nvSpPr>
      <cdr:spPr>
        <a:xfrm xmlns:a="http://schemas.openxmlformats.org/drawingml/2006/main">
          <a:off x="57158" y="1932969"/>
          <a:ext cx="2109780" cy="35304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59B7D8C3-FB28-46D0-B84E-9D7FF1046D11}" type="TxLink">
            <a:rPr lang="en-US" sz="1200" b="0" i="0" u="none" strike="noStrike">
              <a:solidFill>
                <a:srgbClr val="000000"/>
              </a:solidFill>
              <a:latin typeface="Calibri"/>
              <a:cs typeface="Calibri"/>
            </a:rPr>
            <a:pPr/>
            <a:t>Dépenses = 363,36 millions d'€</a:t>
          </a:fld>
          <a:endParaRPr lang="fr-FR" sz="1200">
            <a:solidFill>
              <a:sysClr val="windowText" lastClr="000000"/>
            </a:solidFill>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497417</xdr:colOff>
      <xdr:row>14</xdr:row>
      <xdr:rowOff>116416</xdr:rowOff>
    </xdr:from>
    <xdr:to>
      <xdr:col>17</xdr:col>
      <xdr:colOff>0</xdr:colOff>
      <xdr:row>29</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0.51915</cdr:x>
      <cdr:y>0.02271</cdr:y>
    </cdr:from>
    <cdr:to>
      <cdr:x>0.98623</cdr:x>
      <cdr:y>0.13741</cdr:y>
    </cdr:to>
    <cdr:sp macro="" textlink="'Carte 3-Mappemonde'!$L$18">
      <cdr:nvSpPr>
        <cdr:cNvPr id="2" name="ZoneTexte 1"/>
        <cdr:cNvSpPr txBox="1"/>
      </cdr:nvSpPr>
      <cdr:spPr>
        <a:xfrm xmlns:a="http://schemas.openxmlformats.org/drawingml/2006/main">
          <a:off x="2371289" y="62250"/>
          <a:ext cx="2133457" cy="3144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96F1F97-A76F-4937-8D3C-69F13DF9CB7E}" type="TxLink">
            <a:rPr lang="en-US" sz="1200" b="0" i="0" u="none" strike="noStrike">
              <a:solidFill>
                <a:srgbClr val="000000"/>
              </a:solidFill>
              <a:latin typeface="Calibri"/>
              <a:cs typeface="Calibri"/>
            </a:rPr>
            <a:pPr/>
            <a:t>Dépenses = 211,58 millions d'€</a:t>
          </a:fld>
          <a:endParaRPr lang="fr-FR" sz="1200"/>
        </a:p>
      </cdr:txBody>
    </cdr:sp>
  </cdr:relSizeAnchor>
  <cdr:relSizeAnchor xmlns:cdr="http://schemas.openxmlformats.org/drawingml/2006/chartDrawing">
    <cdr:from>
      <cdr:x>0.55967</cdr:x>
      <cdr:y>0.11856</cdr:y>
    </cdr:from>
    <cdr:to>
      <cdr:x>0.96661</cdr:x>
      <cdr:y>0.23552</cdr:y>
    </cdr:to>
    <cdr:sp macro="" textlink="'Carte 3-Mappemonde'!$L$19">
      <cdr:nvSpPr>
        <cdr:cNvPr id="3" name="ZoneTexte 2"/>
        <cdr:cNvSpPr txBox="1"/>
      </cdr:nvSpPr>
      <cdr:spPr>
        <a:xfrm xmlns:a="http://schemas.openxmlformats.org/drawingml/2006/main">
          <a:off x="2556386" y="324970"/>
          <a:ext cx="1858732" cy="3206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EB4E875-B36B-4B44-A60D-5E183F73B8ED}" type="TxLink">
            <a:rPr lang="en-US" sz="1200" b="0" i="0" u="none" strike="noStrike">
              <a:solidFill>
                <a:srgbClr val="000000"/>
              </a:solidFill>
              <a:latin typeface="Calibri"/>
              <a:cs typeface="Calibri"/>
            </a:rPr>
            <a:pPr/>
            <a:t>Bénéficiaires = 524 801</a:t>
          </a:fld>
          <a:endParaRPr lang="fr-FR" sz="1200"/>
        </a:p>
      </cdr:txBody>
    </cdr:sp>
  </cdr:relSizeAnchor>
</c:userShapes>
</file>

<file path=xl/drawings/drawing13.xml><?xml version="1.0" encoding="utf-8"?>
<xdr:wsDr xmlns:xdr="http://schemas.openxmlformats.org/drawingml/2006/spreadsheetDrawing" xmlns:a="http://schemas.openxmlformats.org/drawingml/2006/main">
  <xdr:twoCellAnchor>
    <xdr:from>
      <xdr:col>6</xdr:col>
      <xdr:colOff>19050</xdr:colOff>
      <xdr:row>19</xdr:row>
      <xdr:rowOff>190499</xdr:rowOff>
    </xdr:from>
    <xdr:to>
      <xdr:col>13</xdr:col>
      <xdr:colOff>0</xdr:colOff>
      <xdr:row>36</xdr:row>
      <xdr:rowOff>-1</xdr:rowOff>
    </xdr:to>
    <xdr:graphicFrame macro="">
      <xdr:nvGraphicFramePr>
        <xdr:cNvPr id="1946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4</xdr:row>
      <xdr:rowOff>0</xdr:rowOff>
    </xdr:from>
    <xdr:to>
      <xdr:col>12</xdr:col>
      <xdr:colOff>200025</xdr:colOff>
      <xdr:row>16</xdr:row>
      <xdr:rowOff>133350</xdr:rowOff>
    </xdr:to>
    <xdr:graphicFrame macro="">
      <xdr:nvGraphicFramePr>
        <xdr:cNvPr id="1946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0.73082</cdr:x>
      <cdr:y>0.0315</cdr:y>
    </cdr:from>
    <cdr:to>
      <cdr:x>0.96607</cdr:x>
      <cdr:y>0.14794</cdr:y>
    </cdr:to>
    <cdr:sp macro="" textlink="'Graphique 15'!$H$5">
      <cdr:nvSpPr>
        <cdr:cNvPr id="2" name="ZoneTexte 1"/>
        <cdr:cNvSpPr txBox="1"/>
      </cdr:nvSpPr>
      <cdr:spPr>
        <a:xfrm xmlns:a="http://schemas.openxmlformats.org/drawingml/2006/main">
          <a:off x="3487510" y="77067"/>
          <a:ext cx="1122600" cy="2848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73B994C-0FD8-442E-8F2F-6238CA2550BD}" type="TxLink">
            <a:rPr lang="en-US" sz="1200" b="0" i="0" u="none" strike="noStrike">
              <a:solidFill>
                <a:srgbClr val="000000"/>
              </a:solidFill>
              <a:latin typeface="Calibri"/>
              <a:cs typeface="Calibri"/>
            </a:rPr>
            <a:pPr/>
            <a:t>n = 524 801</a:t>
          </a:fld>
          <a:endParaRPr lang="fr-FR" sz="1200"/>
        </a:p>
      </cdr:txBody>
    </cdr:sp>
  </cdr:relSizeAnchor>
</c:userShapes>
</file>

<file path=xl/drawings/drawing15.xml><?xml version="1.0" encoding="utf-8"?>
<xdr:wsDr xmlns:xdr="http://schemas.openxmlformats.org/drawingml/2006/spreadsheetDrawing" xmlns:a="http://schemas.openxmlformats.org/drawingml/2006/main">
  <xdr:twoCellAnchor>
    <xdr:from>
      <xdr:col>6</xdr:col>
      <xdr:colOff>0</xdr:colOff>
      <xdr:row>20</xdr:row>
      <xdr:rowOff>0</xdr:rowOff>
    </xdr:from>
    <xdr:to>
      <xdr:col>10</xdr:col>
      <xdr:colOff>419100</xdr:colOff>
      <xdr:row>32</xdr:row>
      <xdr:rowOff>9525</xdr:rowOff>
    </xdr:to>
    <xdr:graphicFrame macro="">
      <xdr:nvGraphicFramePr>
        <xdr:cNvPr id="22539"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4</xdr:row>
      <xdr:rowOff>0</xdr:rowOff>
    </xdr:from>
    <xdr:to>
      <xdr:col>12</xdr:col>
      <xdr:colOff>526257</xdr:colOff>
      <xdr:row>16</xdr:row>
      <xdr:rowOff>111919</xdr:rowOff>
    </xdr:to>
    <xdr:graphicFrame macro="">
      <xdr:nvGraphicFramePr>
        <xdr:cNvPr id="2254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0.56777</cdr:x>
      <cdr:y>0.07434</cdr:y>
    </cdr:from>
    <cdr:to>
      <cdr:x>0.97695</cdr:x>
      <cdr:y>0.21053</cdr:y>
    </cdr:to>
    <cdr:sp macro="" textlink="'Graphique 16'!$H$5">
      <cdr:nvSpPr>
        <cdr:cNvPr id="2" name="ZoneTexte 1"/>
        <cdr:cNvSpPr txBox="1"/>
      </cdr:nvSpPr>
      <cdr:spPr>
        <a:xfrm xmlns:a="http://schemas.openxmlformats.org/drawingml/2006/main">
          <a:off x="3381375" y="180032"/>
          <a:ext cx="2436859" cy="329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0E3F469-5A3B-4D0F-BCD8-698FD7AC8EF6}" type="TxLink">
            <a:rPr lang="en-US" sz="1400" b="0" i="0" u="none" strike="noStrike">
              <a:solidFill>
                <a:srgbClr val="000000"/>
              </a:solidFill>
              <a:latin typeface="Calibri"/>
              <a:cs typeface="Calibri"/>
            </a:rPr>
            <a:pPr/>
            <a:t>Dépenses = 211,58 millions d'€</a:t>
          </a:fld>
          <a:endParaRPr lang="fr-FR" sz="1400"/>
        </a:p>
      </cdr:txBody>
    </cdr:sp>
  </cdr:relSizeAnchor>
</c:userShapes>
</file>

<file path=xl/drawings/drawing17.xml><?xml version="1.0" encoding="utf-8"?>
<xdr:wsDr xmlns:xdr="http://schemas.openxmlformats.org/drawingml/2006/spreadsheetDrawing" xmlns:a="http://schemas.openxmlformats.org/drawingml/2006/main">
  <xdr:twoCellAnchor>
    <xdr:from>
      <xdr:col>1</xdr:col>
      <xdr:colOff>0</xdr:colOff>
      <xdr:row>33</xdr:row>
      <xdr:rowOff>0</xdr:rowOff>
    </xdr:from>
    <xdr:to>
      <xdr:col>6</xdr:col>
      <xdr:colOff>0</xdr:colOff>
      <xdr:row>45</xdr:row>
      <xdr:rowOff>114300</xdr:rowOff>
    </xdr:to>
    <xdr:graphicFrame macro="">
      <xdr:nvGraphicFramePr>
        <xdr:cNvPr id="1537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171450</xdr:rowOff>
    </xdr:from>
    <xdr:to>
      <xdr:col>5</xdr:col>
      <xdr:colOff>0</xdr:colOff>
      <xdr:row>63</xdr:row>
      <xdr:rowOff>0</xdr:rowOff>
    </xdr:to>
    <xdr:graphicFrame macro="">
      <xdr:nvGraphicFramePr>
        <xdr:cNvPr id="1537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67</xdr:row>
      <xdr:rowOff>142875</xdr:rowOff>
    </xdr:from>
    <xdr:to>
      <xdr:col>5</xdr:col>
      <xdr:colOff>361950</xdr:colOff>
      <xdr:row>82</xdr:row>
      <xdr:rowOff>19050</xdr:rowOff>
    </xdr:to>
    <xdr:graphicFrame macro="">
      <xdr:nvGraphicFramePr>
        <xdr:cNvPr id="15378"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0.83465</cdr:y>
    </cdr:from>
    <cdr:to>
      <cdr:x>0.58989</cdr:x>
      <cdr:y>0.96901</cdr:y>
    </cdr:to>
    <cdr:sp macro="" textlink="'Graphiques 17 &amp; 18'!$C$55">
      <cdr:nvSpPr>
        <cdr:cNvPr id="2" name="ZoneTexte 1"/>
        <cdr:cNvSpPr txBox="1"/>
      </cdr:nvSpPr>
      <cdr:spPr>
        <a:xfrm xmlns:a="http://schemas.openxmlformats.org/drawingml/2006/main">
          <a:off x="0" y="1923910"/>
          <a:ext cx="2500312" cy="309702"/>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E80BA815-89B3-47A3-8AF0-83D9FD7FF930}" type="TxLink">
            <a:rPr lang="en-US" sz="1400" b="0" i="0" u="none" strike="noStrike">
              <a:solidFill>
                <a:srgbClr val="000000"/>
              </a:solidFill>
              <a:latin typeface="Calibri"/>
              <a:cs typeface="Calibri"/>
            </a:rPr>
            <a:pPr/>
            <a:t>Dépenses : 211,58 millions d'€</a:t>
          </a:fld>
          <a:endParaRPr lang="fr-FR" sz="1400"/>
        </a:p>
      </cdr:txBody>
    </cdr:sp>
  </cdr:relSizeAnchor>
</c:userShapes>
</file>

<file path=xl/drawings/drawing2.xml><?xml version="1.0" encoding="utf-8"?>
<xdr:wsDr xmlns:xdr="http://schemas.openxmlformats.org/drawingml/2006/spreadsheetDrawing" xmlns:a="http://schemas.openxmlformats.org/drawingml/2006/main">
  <xdr:twoCellAnchor>
    <xdr:from>
      <xdr:col>10</xdr:col>
      <xdr:colOff>0</xdr:colOff>
      <xdr:row>34</xdr:row>
      <xdr:rowOff>0</xdr:rowOff>
    </xdr:from>
    <xdr:to>
      <xdr:col>19</xdr:col>
      <xdr:colOff>0</xdr:colOff>
      <xdr:row>49</xdr:row>
      <xdr:rowOff>136072</xdr:rowOff>
    </xdr:to>
    <xdr:graphicFrame macro="">
      <xdr:nvGraphicFramePr>
        <xdr:cNvPr id="2059"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xdr:colOff>
      <xdr:row>3</xdr:row>
      <xdr:rowOff>176893</xdr:rowOff>
    </xdr:from>
    <xdr:to>
      <xdr:col>25</xdr:col>
      <xdr:colOff>0</xdr:colOff>
      <xdr:row>19</xdr:row>
      <xdr:rowOff>0</xdr:rowOff>
    </xdr:to>
    <xdr:graphicFrame macro="">
      <xdr:nvGraphicFramePr>
        <xdr:cNvPr id="2060"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63500</xdr:colOff>
      <xdr:row>23</xdr:row>
      <xdr:rowOff>0</xdr:rowOff>
    </xdr:from>
    <xdr:to>
      <xdr:col>18</xdr:col>
      <xdr:colOff>687916</xdr:colOff>
      <xdr:row>31</xdr:row>
      <xdr:rowOff>0</xdr:rowOff>
    </xdr:to>
    <xdr:sp macro="" textlink="">
      <xdr:nvSpPr>
        <xdr:cNvPr id="5" name="ZoneTexte 4"/>
        <xdr:cNvSpPr txBox="1"/>
      </xdr:nvSpPr>
      <xdr:spPr>
        <a:xfrm>
          <a:off x="7958667" y="4582583"/>
          <a:ext cx="8508999" cy="176741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r>
            <a:rPr lang="fr-FR" sz="1400" b="1"/>
            <a:t>IMPORTANT !!!</a:t>
          </a:r>
        </a:p>
        <a:p>
          <a:pPr algn="just"/>
          <a:r>
            <a:rPr lang="fr-FR" sz="1100"/>
            <a:t>Le CNSE,</a:t>
          </a:r>
          <a:r>
            <a:rPr lang="fr-FR" sz="1100" baseline="0"/>
            <a:t> dans les données qu'il transmet au Cleiss et que le Cleiss prend en compte dans son rapport statistique annuel, inclut l</a:t>
          </a:r>
          <a:r>
            <a:rPr lang="fr-FR" sz="1100" baseline="0" smtClean="0">
              <a:solidFill>
                <a:schemeClr val="dk1"/>
              </a:solidFill>
              <a:latin typeface="+mn-lt"/>
              <a:ea typeface="+mn-ea"/>
              <a:cs typeface="+mn-cs"/>
            </a:rPr>
            <a:t>es factures de placements en établissements non conventionnés des personnes handicapées adultes dans les soins programmés en hospitalisation (voir rapport d'activité du CNSE). Cependant le CNSE (Audrey) par communication téléphonique du 22/3/2019 me précise que les pays autres que Belgique et Allemagne figurant en "Placements à l'étranger" sont en fait des soins inopinés. D'après la Cour des Comptes, les montants pour les placements en Belgique et en suisse  ne sont pas à être considérés, comme le fait le CNSE, comme des "soins de santé programmés". </a:t>
          </a:r>
          <a:r>
            <a:rPr lang="fr-FR" sz="1100" b="1" u="sng" baseline="0" smtClean="0">
              <a:solidFill>
                <a:schemeClr val="dk1"/>
              </a:solidFill>
              <a:latin typeface="+mn-lt"/>
              <a:ea typeface="+mn-ea"/>
              <a:cs typeface="+mn-cs"/>
            </a:rPr>
            <a:t>Il faut donc les exclure.</a:t>
          </a:r>
        </a:p>
        <a:p>
          <a:pPr algn="just"/>
          <a:endParaRPr lang="fr-FR" sz="1100" b="1" u="sng" baseline="0" smtClean="0">
            <a:solidFill>
              <a:schemeClr val="dk1"/>
            </a:solidFill>
            <a:latin typeface="+mn-lt"/>
            <a:ea typeface="+mn-ea"/>
            <a:cs typeface="+mn-cs"/>
          </a:endParaRPr>
        </a:p>
        <a:p>
          <a:pPr algn="just"/>
          <a:r>
            <a:rPr lang="fr-FR" sz="1100" b="0" u="none" baseline="0" smtClean="0">
              <a:solidFill>
                <a:schemeClr val="dk1"/>
              </a:solidFill>
              <a:latin typeface="+mn-lt"/>
              <a:ea typeface="+mn-ea"/>
              <a:cs typeface="+mn-cs"/>
            </a:rPr>
            <a:t>C'est pourquoi dans le tableau ci-dessus, </a:t>
          </a:r>
          <a:r>
            <a:rPr lang="fr-FR" sz="1100" b="0" baseline="0">
              <a:solidFill>
                <a:schemeClr val="dk1"/>
              </a:solidFill>
              <a:latin typeface="+mn-lt"/>
              <a:ea typeface="+mn-ea"/>
              <a:cs typeface="+mn-cs"/>
            </a:rPr>
            <a:t>comme dans le tableau dans l'onglet "version consolidée UE", sont déduits "manuellement" pour "CNSE (Régime général) / UE/EEE/Suisse" les nombre et montant d</a:t>
          </a:r>
          <a:r>
            <a:rPr lang="fr-FR" sz="1100" baseline="0">
              <a:solidFill>
                <a:schemeClr val="dk1"/>
              </a:solidFill>
              <a:latin typeface="+mn-lt"/>
              <a:ea typeface="+mn-ea"/>
              <a:cs typeface="+mn-cs"/>
            </a:rPr>
            <a:t>es factures des placements que l'on trouve ci-contre et dans le rapport du CNSE.</a:t>
          </a:r>
          <a:endParaRPr lang="fr-FR" sz="1100" b="1" u="sng"/>
        </a:p>
      </xdr:txBody>
    </xdr:sp>
    <xdr:clientData/>
  </xdr:twoCellAnchor>
</xdr:wsDr>
</file>

<file path=xl/drawings/drawing3.xml><?xml version="1.0" encoding="utf-8"?>
<c:userShapes xmlns:c="http://schemas.openxmlformats.org/drawingml/2006/chart">
  <cdr:relSizeAnchor xmlns:cdr="http://schemas.openxmlformats.org/drawingml/2006/chartDrawing">
    <cdr:from>
      <cdr:x>0.54988</cdr:x>
      <cdr:y>0.03211</cdr:y>
    </cdr:from>
    <cdr:to>
      <cdr:x>1</cdr:x>
      <cdr:y>0.1416</cdr:y>
    </cdr:to>
    <cdr:sp macro="" textlink="'Tab. 4 et Graphs 9 &amp; 10'!$O$37">
      <cdr:nvSpPr>
        <cdr:cNvPr id="2" name="ZoneTexte 1"/>
        <cdr:cNvSpPr txBox="1"/>
      </cdr:nvSpPr>
      <cdr:spPr>
        <a:xfrm xmlns:a="http://schemas.openxmlformats.org/drawingml/2006/main">
          <a:off x="3090425" y="101227"/>
          <a:ext cx="2511187" cy="3451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3F35899-2476-49CB-BC7B-6494646C90C9}" type="TxLink">
            <a:rPr lang="en-US" sz="1400" b="0" i="0" u="none" strike="noStrike">
              <a:solidFill>
                <a:srgbClr val="000000"/>
              </a:solidFill>
              <a:latin typeface="Calibri"/>
              <a:cs typeface="Calibri"/>
            </a:rPr>
            <a:pPr/>
            <a:t>Dépenses = 574,95 millions d'€</a:t>
          </a:fld>
          <a:endParaRPr lang="fr-FR" sz="1400"/>
        </a:p>
      </cdr:txBody>
    </cdr:sp>
  </cdr:relSizeAnchor>
</c:userShapes>
</file>

<file path=xl/drawings/drawing4.xml><?xml version="1.0" encoding="utf-8"?>
<c:userShapes xmlns:c="http://schemas.openxmlformats.org/drawingml/2006/chart">
  <cdr:relSizeAnchor xmlns:cdr="http://schemas.openxmlformats.org/drawingml/2006/chartDrawing">
    <cdr:from>
      <cdr:x>0.69828</cdr:x>
      <cdr:y>0.07107</cdr:y>
    </cdr:from>
    <cdr:to>
      <cdr:x>0.9569</cdr:x>
      <cdr:y>0.15736</cdr:y>
    </cdr:to>
    <cdr:sp macro="" textlink="">
      <cdr:nvSpPr>
        <cdr:cNvPr id="2" name="ZoneTexte 1"/>
        <cdr:cNvSpPr txBox="1"/>
      </cdr:nvSpPr>
      <cdr:spPr>
        <a:xfrm xmlns:a="http://schemas.openxmlformats.org/drawingml/2006/main">
          <a:off x="2700339" y="166689"/>
          <a:ext cx="1000125" cy="2024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0.72201</cdr:x>
      <cdr:y>0.03232</cdr:y>
    </cdr:from>
    <cdr:to>
      <cdr:x>0.94835</cdr:x>
      <cdr:y>0.15426</cdr:y>
    </cdr:to>
    <cdr:sp macro="" textlink="'Tab. 4 et Graphs 9 &amp; 10'!$W$5">
      <cdr:nvSpPr>
        <cdr:cNvPr id="3" name="ZoneTexte 2"/>
        <cdr:cNvSpPr txBox="1"/>
      </cdr:nvSpPr>
      <cdr:spPr>
        <a:xfrm xmlns:a="http://schemas.openxmlformats.org/drawingml/2006/main">
          <a:off x="4217981" y="98602"/>
          <a:ext cx="1322278" cy="3720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1369379-0244-4837-9958-4419B360B238}" type="TxLink">
            <a:rPr lang="en-US" sz="1400" b="0" i="0" u="none" strike="noStrike">
              <a:solidFill>
                <a:srgbClr val="000000"/>
              </a:solidFill>
              <a:latin typeface="Calibri"/>
              <a:cs typeface="Calibri"/>
            </a:rPr>
            <a:pPr/>
            <a:t>n = 983 703</a:t>
          </a:fld>
          <a:endParaRPr lang="fr-FR" sz="1400"/>
        </a:p>
      </cdr:txBody>
    </cdr:sp>
  </cdr:relSizeAnchor>
</c:userShapes>
</file>

<file path=xl/drawings/drawing5.xml><?xml version="1.0" encoding="utf-8"?>
<xdr:wsDr xmlns:xdr="http://schemas.openxmlformats.org/drawingml/2006/spreadsheetDrawing" xmlns:a="http://schemas.openxmlformats.org/drawingml/2006/main">
  <xdr:twoCellAnchor>
    <xdr:from>
      <xdr:col>5</xdr:col>
      <xdr:colOff>971550</xdr:colOff>
      <xdr:row>20</xdr:row>
      <xdr:rowOff>95250</xdr:rowOff>
    </xdr:from>
    <xdr:to>
      <xdr:col>10</xdr:col>
      <xdr:colOff>704850</xdr:colOff>
      <xdr:row>32</xdr:row>
      <xdr:rowOff>104775</xdr:rowOff>
    </xdr:to>
    <xdr:graphicFrame macro="">
      <xdr:nvGraphicFramePr>
        <xdr:cNvPr id="922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4</xdr:row>
      <xdr:rowOff>0</xdr:rowOff>
    </xdr:from>
    <xdr:to>
      <xdr:col>11</xdr:col>
      <xdr:colOff>762000</xdr:colOff>
      <xdr:row>17</xdr:row>
      <xdr:rowOff>133350</xdr:rowOff>
    </xdr:to>
    <xdr:graphicFrame macro="">
      <xdr:nvGraphicFramePr>
        <xdr:cNvPr id="922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0.72619</cdr:x>
      <cdr:y>0.06152</cdr:y>
    </cdr:from>
    <cdr:to>
      <cdr:x>0.91667</cdr:x>
      <cdr:y>0.18144</cdr:y>
    </cdr:to>
    <cdr:sp macro="" textlink="'Graphique 11'!$K$6">
      <cdr:nvSpPr>
        <cdr:cNvPr id="2" name="ZoneTexte 1"/>
        <cdr:cNvSpPr txBox="1"/>
      </cdr:nvSpPr>
      <cdr:spPr>
        <a:xfrm xmlns:a="http://schemas.openxmlformats.org/drawingml/2006/main">
          <a:off x="3320143" y="160565"/>
          <a:ext cx="870857" cy="3129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3D5D30A-FEB5-4B3B-B93C-D8F018F03934}" type="TxLink">
            <a:rPr lang="en-US" sz="1100" b="0" i="0" u="none" strike="noStrike">
              <a:solidFill>
                <a:srgbClr val="000000"/>
              </a:solidFill>
              <a:latin typeface="Calibri"/>
              <a:cs typeface="Calibri"/>
            </a:rPr>
            <a:pPr/>
            <a:t>n = 458 902</a:t>
          </a:fld>
          <a:endParaRPr lang="fr-FR" sz="1100"/>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971550</xdr:colOff>
      <xdr:row>20</xdr:row>
      <xdr:rowOff>190500</xdr:rowOff>
    </xdr:from>
    <xdr:to>
      <xdr:col>10</xdr:col>
      <xdr:colOff>0</xdr:colOff>
      <xdr:row>33</xdr:row>
      <xdr:rowOff>0</xdr:rowOff>
    </xdr:to>
    <xdr:graphicFrame macro="">
      <xdr:nvGraphicFramePr>
        <xdr:cNvPr id="12299"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4</xdr:row>
      <xdr:rowOff>0</xdr:rowOff>
    </xdr:from>
    <xdr:to>
      <xdr:col>11</xdr:col>
      <xdr:colOff>252412</xdr:colOff>
      <xdr:row>17</xdr:row>
      <xdr:rowOff>133350</xdr:rowOff>
    </xdr:to>
    <xdr:graphicFrame macro="">
      <xdr:nvGraphicFramePr>
        <xdr:cNvPr id="1230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0.49625</cdr:x>
      <cdr:y>0.0438</cdr:y>
    </cdr:from>
    <cdr:to>
      <cdr:x>0.98362</cdr:x>
      <cdr:y>0.15967</cdr:y>
    </cdr:to>
    <cdr:sp macro="" textlink="'Graphique 12'!$J$6">
      <cdr:nvSpPr>
        <cdr:cNvPr id="2" name="ZoneTexte 1"/>
        <cdr:cNvSpPr txBox="1"/>
      </cdr:nvSpPr>
      <cdr:spPr>
        <a:xfrm xmlns:a="http://schemas.openxmlformats.org/drawingml/2006/main">
          <a:off x="2524125" y="114311"/>
          <a:ext cx="2478911" cy="3024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D53A861-C11E-42C4-A2BD-797C01EF0AB9}" type="TxLink">
            <a:rPr lang="en-US" sz="1400" b="0" i="0" u="none" strike="noStrike">
              <a:solidFill>
                <a:srgbClr val="000000"/>
              </a:solidFill>
              <a:latin typeface="Calibri"/>
              <a:cs typeface="Calibri"/>
            </a:rPr>
            <a:pPr/>
            <a:t>Dépenses : 363,36 millions d'€</a:t>
          </a:fld>
          <a:endParaRPr lang="fr-FR" sz="1400"/>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32</xdr:row>
      <xdr:rowOff>0</xdr:rowOff>
    </xdr:from>
    <xdr:to>
      <xdr:col>5</xdr:col>
      <xdr:colOff>547688</xdr:colOff>
      <xdr:row>45</xdr:row>
      <xdr:rowOff>142875</xdr:rowOff>
    </xdr:to>
    <xdr:graphicFrame macro="">
      <xdr:nvGraphicFramePr>
        <xdr:cNvPr id="513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49</xdr:row>
      <xdr:rowOff>171450</xdr:rowOff>
    </xdr:from>
    <xdr:to>
      <xdr:col>4</xdr:col>
      <xdr:colOff>542925</xdr:colOff>
      <xdr:row>62</xdr:row>
      <xdr:rowOff>0</xdr:rowOff>
    </xdr:to>
    <xdr:graphicFrame macro="">
      <xdr:nvGraphicFramePr>
        <xdr:cNvPr id="513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65</xdr:row>
      <xdr:rowOff>0</xdr:rowOff>
    </xdr:from>
    <xdr:to>
      <xdr:col>5</xdr:col>
      <xdr:colOff>333375</xdr:colOff>
      <xdr:row>79</xdr:row>
      <xdr:rowOff>76200</xdr:rowOff>
    </xdr:to>
    <xdr:graphicFrame macro="">
      <xdr:nvGraphicFramePr>
        <xdr:cNvPr id="5138"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4:G28"/>
  <sheetViews>
    <sheetView showGridLines="0" tabSelected="1" zoomScaleNormal="100" workbookViewId="0"/>
  </sheetViews>
  <sheetFormatPr baseColWidth="10" defaultRowHeight="15"/>
  <cols>
    <col min="1" max="1" width="11.42578125" style="41"/>
    <col min="2" max="2" width="115.7109375" style="41" bestFit="1" customWidth="1"/>
    <col min="3" max="16384" width="11.42578125" style="41"/>
  </cols>
  <sheetData>
    <row r="4" spans="1:7" ht="18.75">
      <c r="B4" s="261" t="s">
        <v>362</v>
      </c>
    </row>
    <row r="6" spans="1:7" ht="18.75">
      <c r="A6" s="262"/>
      <c r="B6" s="263" t="s">
        <v>361</v>
      </c>
      <c r="C6" s="262"/>
      <c r="D6" s="262"/>
      <c r="E6" s="262"/>
      <c r="F6" s="262"/>
      <c r="G6" s="262"/>
    </row>
    <row r="8" spans="1:7">
      <c r="B8" s="42" t="s">
        <v>293</v>
      </c>
    </row>
    <row r="9" spans="1:7">
      <c r="B9" s="176" t="s">
        <v>356</v>
      </c>
    </row>
    <row r="10" spans="1:7">
      <c r="B10" s="43"/>
    </row>
    <row r="11" spans="1:7" ht="15.75">
      <c r="B11" s="44" t="s">
        <v>264</v>
      </c>
    </row>
    <row r="12" spans="1:7">
      <c r="B12" s="43" t="s">
        <v>207</v>
      </c>
    </row>
    <row r="13" spans="1:7">
      <c r="B13" s="176" t="s">
        <v>287</v>
      </c>
    </row>
    <row r="14" spans="1:7">
      <c r="B14" s="176" t="s">
        <v>289</v>
      </c>
    </row>
    <row r="15" spans="1:7">
      <c r="B15" s="176" t="s">
        <v>288</v>
      </c>
    </row>
    <row r="16" spans="1:7">
      <c r="B16" s="43"/>
    </row>
    <row r="17" spans="2:2" ht="15.75">
      <c r="B17" s="44" t="s">
        <v>265</v>
      </c>
    </row>
    <row r="18" spans="2:2">
      <c r="B18" s="43" t="s">
        <v>207</v>
      </c>
    </row>
    <row r="19" spans="2:2">
      <c r="B19" s="176" t="s">
        <v>355</v>
      </c>
    </row>
    <row r="20" spans="2:2">
      <c r="B20" s="176" t="s">
        <v>291</v>
      </c>
    </row>
    <row r="21" spans="2:2">
      <c r="B21" s="176" t="s">
        <v>292</v>
      </c>
    </row>
    <row r="22" spans="2:2">
      <c r="B22" s="176" t="s">
        <v>290</v>
      </c>
    </row>
    <row r="23" spans="2:2">
      <c r="B23" s="43"/>
    </row>
    <row r="28" spans="2:2">
      <c r="B28" s="45"/>
    </row>
  </sheetData>
  <hyperlinks>
    <hyperlink ref="B12" location="'version consolidée UE'!A1" display="Données ventilées par pays, type de soins, nature de soins"/>
    <hyperlink ref="B14" location="'Graphique 12'!A1" display="Graphique 12 : Répartition des dépenses selon le type et la nature des soins"/>
    <hyperlink ref="B13" location="'Graphique 11'!A1" display="Graphique 11 : Répartition des bénéficiaires de soins de santé des régimes français au sein de l’UE-EEE-Suisse"/>
    <hyperlink ref="B18" location="'version consolidée hors UE'!A1" display="Données ventilées par pays, type de soins, nature de soins"/>
    <hyperlink ref="B21" location="'Graphique 16'!A1" display="Graphique 16 : Répartition des dépenses selon le type et la nature des soins"/>
    <hyperlink ref="B19" location="'Carte 3-Mappemonde'!A1" display="Carte 3 - Mappemonde : Répartition des dépenses selon la localisation géographique des soins"/>
    <hyperlink ref="B22" location="'Graphiques 17 &amp; 18'!A1" display="Graphiques 17 &amp; 18 : Répartition des dépenses de soins de santé des assurés des régimes français en dehors de la zone UE-EEE-Suisse"/>
    <hyperlink ref="B20" location="'Graphique 15'!A1" display="Graphique 15 : Répartition des bénéficiaires de soins de santé des régimes français en dehors de la zone UE-EEE-Suisse"/>
    <hyperlink ref="B9" location="'Tab. 4 et Graphs 9 &amp; 10'!A1" display="Tableau 4, graphiques 9 &amp; 10 : Répartition des dépenses et des bénéficiaires selon l'organisme qui a remboursé les soins"/>
    <hyperlink ref="B15" location="'Graphiques 13 &amp; 14'!A1" display="Graphiques 13 &amp; 14 : Répartition des dépenses de soins de santé des assurés des régimes français au sein de l'UE-EEE-Suiss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tabColor theme="9" tint="-0.499984740745262"/>
  </sheetPr>
  <dimension ref="A1:AL211"/>
  <sheetViews>
    <sheetView zoomScale="80" zoomScaleNormal="80" workbookViewId="0"/>
  </sheetViews>
  <sheetFormatPr baseColWidth="10" defaultRowHeight="15"/>
  <cols>
    <col min="1" max="1" width="11.42578125" style="25"/>
    <col min="2" max="2" width="38" style="25" bestFit="1" customWidth="1"/>
    <col min="3" max="4" width="19.7109375" style="25" customWidth="1"/>
    <col min="5" max="5" width="5.85546875" style="25" bestFit="1" customWidth="1"/>
    <col min="6" max="6" width="14.7109375" style="25" customWidth="1"/>
    <col min="7" max="7" width="16.7109375" style="25" bestFit="1" customWidth="1"/>
    <col min="8" max="8" width="11.5703125" style="25" bestFit="1" customWidth="1"/>
    <col min="9" max="11" width="11.42578125" style="25"/>
    <col min="12" max="12" width="18.7109375" style="25" customWidth="1"/>
    <col min="13" max="13" width="16.7109375" style="25" customWidth="1"/>
    <col min="14" max="14" width="18.140625" style="25" customWidth="1"/>
    <col min="15" max="15" width="16.28515625" style="25" customWidth="1"/>
    <col min="16" max="16" width="15.85546875" style="25" bestFit="1" customWidth="1"/>
    <col min="17" max="17" width="41" style="25" bestFit="1" customWidth="1"/>
    <col min="18" max="18" width="13.5703125" style="25" bestFit="1" customWidth="1"/>
    <col min="19" max="19" width="13.5703125" style="25" customWidth="1"/>
    <col min="20" max="20" width="8.42578125" style="25" bestFit="1" customWidth="1"/>
    <col min="21" max="21" width="12.42578125" style="25" bestFit="1" customWidth="1"/>
    <col min="22" max="22" width="12.42578125" style="25" customWidth="1"/>
    <col min="23" max="23" width="9.28515625" style="25" customWidth="1"/>
    <col min="24" max="25" width="14.7109375" style="25" customWidth="1"/>
    <col min="26" max="26" width="13.140625" style="25" customWidth="1"/>
    <col min="27" max="27" width="14.7109375" style="25" bestFit="1" customWidth="1"/>
    <col min="28" max="28" width="14.7109375" style="25" customWidth="1"/>
    <col min="29" max="29" width="13.28515625" style="25" customWidth="1"/>
    <col min="30" max="30" width="11.42578125" style="25"/>
    <col min="31" max="31" width="12.85546875" style="25" bestFit="1" customWidth="1"/>
    <col min="32" max="32" width="17.42578125" style="25" bestFit="1" customWidth="1"/>
    <col min="33" max="33" width="22.140625" style="25" bestFit="1" customWidth="1"/>
    <col min="34" max="16384" width="11.42578125" style="25"/>
  </cols>
  <sheetData>
    <row r="1" spans="1:38" ht="15.75" thickBot="1">
      <c r="A1" s="28" t="s">
        <v>206</v>
      </c>
    </row>
    <row r="2" spans="1:38">
      <c r="R2" s="381" t="s">
        <v>195</v>
      </c>
      <c r="S2" s="384"/>
      <c r="T2" s="382"/>
      <c r="U2" s="383" t="s">
        <v>151</v>
      </c>
      <c r="V2" s="383"/>
      <c r="W2" s="383"/>
      <c r="X2" s="383" t="s">
        <v>191</v>
      </c>
      <c r="Y2" s="383"/>
      <c r="Z2" s="383"/>
      <c r="AA2" s="383" t="s">
        <v>182</v>
      </c>
      <c r="AB2" s="383"/>
      <c r="AC2" s="383"/>
      <c r="AE2"/>
      <c r="AF2"/>
      <c r="AG2"/>
      <c r="AH2"/>
      <c r="AI2"/>
      <c r="AJ2"/>
      <c r="AK2"/>
      <c r="AL2"/>
    </row>
    <row r="3" spans="1:38">
      <c r="C3" s="380" t="s">
        <v>258</v>
      </c>
      <c r="D3" s="380"/>
      <c r="E3" s="18" t="s">
        <v>187</v>
      </c>
      <c r="G3" s="46" t="s">
        <v>230</v>
      </c>
      <c r="Q3" s="17"/>
      <c r="R3" s="210" t="s">
        <v>338</v>
      </c>
      <c r="S3" s="217" t="s">
        <v>339</v>
      </c>
      <c r="T3" s="212" t="s">
        <v>340</v>
      </c>
      <c r="U3" s="210" t="s">
        <v>338</v>
      </c>
      <c r="V3" s="217" t="s">
        <v>339</v>
      </c>
      <c r="W3" s="212" t="s">
        <v>340</v>
      </c>
      <c r="X3" s="210" t="s">
        <v>338</v>
      </c>
      <c r="Y3" s="217" t="s">
        <v>339</v>
      </c>
      <c r="Z3" s="212" t="s">
        <v>340</v>
      </c>
      <c r="AA3" s="210" t="s">
        <v>338</v>
      </c>
      <c r="AB3" s="217" t="s">
        <v>339</v>
      </c>
      <c r="AC3" s="212" t="s">
        <v>340</v>
      </c>
      <c r="AE3" s="5" t="str">
        <f>R2</f>
        <v>Soins urgents</v>
      </c>
      <c r="AF3" s="5" t="str">
        <f>U2</f>
        <v>Soins programmés</v>
      </c>
      <c r="AG3" s="5" t="str">
        <f>X2</f>
        <v>Soins liés à la résidence</v>
      </c>
    </row>
    <row r="4" spans="1:38">
      <c r="B4" s="86" t="s">
        <v>48</v>
      </c>
      <c r="C4" s="138">
        <f>'version consolidée hors UE'!AO7</f>
        <v>2638.2400000000002</v>
      </c>
      <c r="D4" s="22">
        <f>C4/$C$190</f>
        <v>1.246919586053055E-5</v>
      </c>
      <c r="E4" s="86">
        <f t="shared" ref="E4:E35" si="0">RANK(C4,$C$4:$C$189)</f>
        <v>120</v>
      </c>
      <c r="P4"/>
      <c r="Q4" s="86" t="s">
        <v>48</v>
      </c>
      <c r="R4" s="53">
        <f>'version consolidée hors UE'!F7</f>
        <v>2267.3900000000003</v>
      </c>
      <c r="S4" s="53">
        <f>'version consolidée hors UE'!AM7*T4</f>
        <v>0</v>
      </c>
      <c r="T4" s="62">
        <f>IFERROR(R4/AA4,0)</f>
        <v>0.85943280368730679</v>
      </c>
      <c r="U4" s="53">
        <f>'version consolidée hors UE'!M7</f>
        <v>0</v>
      </c>
      <c r="V4" s="53">
        <f>'version consolidée hors UE'!AM7*W4</f>
        <v>0</v>
      </c>
      <c r="W4" s="231">
        <f>IFERROR(U4/AA4,0)</f>
        <v>0</v>
      </c>
      <c r="X4" s="53">
        <f>'version consolidée hors UE'!T7+'version consolidée hors UE'!AJ7+'version consolidée hors UE'!AL7</f>
        <v>370.85</v>
      </c>
      <c r="Y4" s="53">
        <f>'version consolidée hors UE'!AM7*Z4</f>
        <v>0</v>
      </c>
      <c r="Z4" s="231">
        <f>IFERROR(X4/AA4,0)</f>
        <v>0.14056719631269329</v>
      </c>
      <c r="AA4" s="53">
        <f>R4+U4+X4</f>
        <v>2638.2400000000002</v>
      </c>
      <c r="AB4" s="53">
        <f>S4+V4+Y4</f>
        <v>0</v>
      </c>
      <c r="AC4" s="62">
        <f>T4+W4+Z4</f>
        <v>1</v>
      </c>
      <c r="AE4" s="62">
        <f>R4/$R$190</f>
        <v>1.0661202645028488E-4</v>
      </c>
      <c r="AF4" s="62">
        <f>U4/$U$190</f>
        <v>0</v>
      </c>
      <c r="AG4" s="62">
        <f t="shared" ref="AG4:AG35" si="1">X4/$X$190</f>
        <v>2.0334769086976589E-6</v>
      </c>
    </row>
    <row r="5" spans="1:38">
      <c r="B5" s="86" t="s">
        <v>49</v>
      </c>
      <c r="C5" s="138">
        <f>'version consolidée hors UE'!AO8</f>
        <v>210926.76</v>
      </c>
      <c r="D5" s="22">
        <f t="shared" ref="D5:D68" si="2">C5/$C$190</f>
        <v>9.9690971354657668E-4</v>
      </c>
      <c r="E5" s="86">
        <f t="shared" si="0"/>
        <v>32</v>
      </c>
      <c r="H5" s="25" t="str">
        <f>"Dépenses = "&amp;TEXT(C190/1000000,"# ###,##")&amp;" millions d'€"</f>
        <v>Dépenses = 211,58 millions d'€</v>
      </c>
      <c r="P5"/>
      <c r="Q5" s="86" t="s">
        <v>49</v>
      </c>
      <c r="R5" s="53">
        <f>'version consolidée hors UE'!F8</f>
        <v>118107.09</v>
      </c>
      <c r="S5" s="53">
        <f>'version consolidée hors UE'!AM8*T5</f>
        <v>0</v>
      </c>
      <c r="T5" s="62">
        <f t="shared" ref="T5:T67" si="3">IFERROR(R5/AA5,0)</f>
        <v>0.55994360317296865</v>
      </c>
      <c r="U5" s="53">
        <f>'version consolidée hors UE'!M8</f>
        <v>1919.3300000000002</v>
      </c>
      <c r="V5" s="53">
        <f>'version consolidée hors UE'!AM8*W5</f>
        <v>0</v>
      </c>
      <c r="W5" s="231">
        <f t="shared" ref="W5:W68" si="4">IFERROR(U5/AA5,0)</f>
        <v>9.0995092324937816E-3</v>
      </c>
      <c r="X5" s="53">
        <f>'version consolidée hors UE'!T8+'version consolidée hors UE'!AJ8+'version consolidée hors UE'!AL8</f>
        <v>90900.34</v>
      </c>
      <c r="Y5" s="53">
        <f>'version consolidée hors UE'!AM8*Z5</f>
        <v>0</v>
      </c>
      <c r="Z5" s="231">
        <f t="shared" ref="Z5:Z68" si="5">IFERROR(X5/AA5,0)</f>
        <v>0.43095688759453754</v>
      </c>
      <c r="AA5" s="53">
        <f t="shared" ref="AA5:AA68" si="6">R5+U5+X5</f>
        <v>210926.76</v>
      </c>
      <c r="AB5" s="53">
        <f t="shared" ref="AB5:AB36" si="7">S5+V5+Y5</f>
        <v>0</v>
      </c>
      <c r="AC5" s="62">
        <f t="shared" ref="AC5:AC68" si="8">T5+W5+Z5</f>
        <v>1</v>
      </c>
      <c r="AE5" s="62">
        <f t="shared" ref="AE5:AE68" si="9">R5/$R$190</f>
        <v>5.5533614433538889E-3</v>
      </c>
      <c r="AF5" s="62">
        <f t="shared" ref="AF5:AF68" si="10">U5/$U$190</f>
        <v>2.4171215377844264E-4</v>
      </c>
      <c r="AG5" s="62">
        <f t="shared" si="1"/>
        <v>4.9843263417221554E-4</v>
      </c>
    </row>
    <row r="6" spans="1:38">
      <c r="B6" s="86" t="s">
        <v>50</v>
      </c>
      <c r="C6" s="138">
        <f>'version consolidée hors UE'!AO9</f>
        <v>9755.4599999999991</v>
      </c>
      <c r="D6" s="22">
        <f t="shared" si="2"/>
        <v>4.6107534359865415E-5</v>
      </c>
      <c r="E6" s="86">
        <f t="shared" si="0"/>
        <v>97</v>
      </c>
      <c r="P6"/>
      <c r="Q6" s="86" t="s">
        <v>50</v>
      </c>
      <c r="R6" s="53">
        <f>'version consolidée hors UE'!F9</f>
        <v>8904.65</v>
      </c>
      <c r="S6" s="53">
        <f>'version consolidée hors UE'!AM9*T6</f>
        <v>0</v>
      </c>
      <c r="T6" s="62">
        <f t="shared" si="3"/>
        <v>0.91278627558310943</v>
      </c>
      <c r="U6" s="53">
        <f>'version consolidée hors UE'!M9</f>
        <v>720</v>
      </c>
      <c r="V6" s="53">
        <f>'version consolidée hors UE'!AM9*W6</f>
        <v>0</v>
      </c>
      <c r="W6" s="231">
        <f t="shared" si="4"/>
        <v>7.3804823145192544E-2</v>
      </c>
      <c r="X6" s="53">
        <f>'version consolidée hors UE'!T9+'version consolidée hors UE'!AJ9+'version consolidée hors UE'!AL9</f>
        <v>130.81</v>
      </c>
      <c r="Y6" s="53">
        <f>'version consolidée hors UE'!AM9*Z6</f>
        <v>0</v>
      </c>
      <c r="Z6" s="231">
        <f t="shared" si="5"/>
        <v>1.3408901271698108E-2</v>
      </c>
      <c r="AA6" s="53">
        <f t="shared" si="6"/>
        <v>9755.4599999999991</v>
      </c>
      <c r="AB6" s="53">
        <f t="shared" si="7"/>
        <v>0</v>
      </c>
      <c r="AC6" s="62">
        <f t="shared" si="8"/>
        <v>1</v>
      </c>
      <c r="AE6" s="62">
        <f t="shared" si="9"/>
        <v>4.186940849745871E-4</v>
      </c>
      <c r="AF6" s="62">
        <f t="shared" si="10"/>
        <v>9.0673699009799605E-5</v>
      </c>
      <c r="AG6" s="62">
        <f t="shared" si="1"/>
        <v>7.1726874592622557E-7</v>
      </c>
    </row>
    <row r="7" spans="1:38">
      <c r="B7" s="86" t="s">
        <v>30</v>
      </c>
      <c r="C7" s="138">
        <f>'version consolidée hors UE'!AO10</f>
        <v>72370665.016685903</v>
      </c>
      <c r="D7" s="22">
        <f t="shared" si="2"/>
        <v>0.34204772751906681</v>
      </c>
      <c r="E7" s="86">
        <f t="shared" si="0"/>
        <v>1</v>
      </c>
      <c r="P7"/>
      <c r="Q7" s="86" t="s">
        <v>30</v>
      </c>
      <c r="R7" s="53">
        <f>'version consolidée hors UE'!F10</f>
        <v>573030.52</v>
      </c>
      <c r="S7" s="53">
        <f>'version consolidée hors UE'!AM10*T7</f>
        <v>47887.937150705191</v>
      </c>
      <c r="T7" s="62">
        <f t="shared" si="3"/>
        <v>7.9179943954899561E-3</v>
      </c>
      <c r="U7" s="53">
        <f>'version consolidée hors UE'!M10</f>
        <v>1974033.2200000002</v>
      </c>
      <c r="V7" s="53">
        <f>'version consolidée hors UE'!AM10*W7</f>
        <v>164969.18658497315</v>
      </c>
      <c r="W7" s="231">
        <f t="shared" si="4"/>
        <v>2.7276704166596558E-2</v>
      </c>
      <c r="X7" s="53">
        <f>'version consolidée hors UE'!T10+'version consolidée hors UE'!AJ10+'version consolidée hors UE'!AL10</f>
        <v>69823601.276685908</v>
      </c>
      <c r="Y7" s="53">
        <f>'version consolidée hors UE'!AM10*Z7</f>
        <v>5835131.136774064</v>
      </c>
      <c r="Z7" s="231">
        <f t="shared" si="5"/>
        <v>0.96480530143791354</v>
      </c>
      <c r="AA7" s="53">
        <f t="shared" si="6"/>
        <v>72370665.016685903</v>
      </c>
      <c r="AB7" s="53">
        <f t="shared" si="7"/>
        <v>6047988.2605097424</v>
      </c>
      <c r="AC7" s="62">
        <f t="shared" si="8"/>
        <v>1</v>
      </c>
      <c r="AE7" s="62">
        <f t="shared" si="9"/>
        <v>2.6943730436784361E-2</v>
      </c>
      <c r="AF7" s="62">
        <f t="shared" si="10"/>
        <v>0.24860124170225772</v>
      </c>
      <c r="AG7" s="62">
        <f t="shared" si="1"/>
        <v>0.38286283100513191</v>
      </c>
    </row>
    <row r="8" spans="1:38" ht="17.25">
      <c r="B8" s="132" t="s">
        <v>346</v>
      </c>
      <c r="C8" s="138">
        <f>'version consolidée hors UE'!AO11</f>
        <v>0</v>
      </c>
      <c r="D8" s="22">
        <f t="shared" si="2"/>
        <v>0</v>
      </c>
      <c r="E8" s="86">
        <f t="shared" si="0"/>
        <v>168</v>
      </c>
      <c r="P8"/>
      <c r="Q8" s="132" t="s">
        <v>346</v>
      </c>
      <c r="R8" s="53">
        <f>'version consolidée hors UE'!F11</f>
        <v>0</v>
      </c>
      <c r="S8" s="53">
        <f>'version consolidée hors UE'!AM11*T8</f>
        <v>0</v>
      </c>
      <c r="T8" s="62">
        <f t="shared" si="3"/>
        <v>0</v>
      </c>
      <c r="U8" s="53">
        <f>'version consolidée hors UE'!M11</f>
        <v>0</v>
      </c>
      <c r="V8" s="53">
        <f>'version consolidée hors UE'!AM11*W8</f>
        <v>0</v>
      </c>
      <c r="W8" s="231">
        <f t="shared" si="4"/>
        <v>0</v>
      </c>
      <c r="X8" s="53">
        <f>'version consolidée hors UE'!T11+'version consolidée hors UE'!AJ11+'version consolidée hors UE'!AL11</f>
        <v>0</v>
      </c>
      <c r="Y8" s="53">
        <f>'version consolidée hors UE'!AM11*Z8</f>
        <v>0</v>
      </c>
      <c r="Z8" s="231">
        <f t="shared" si="5"/>
        <v>0</v>
      </c>
      <c r="AA8" s="53">
        <f t="shared" si="6"/>
        <v>0</v>
      </c>
      <c r="AB8" s="53">
        <f t="shared" si="7"/>
        <v>0</v>
      </c>
      <c r="AC8" s="62">
        <f t="shared" si="8"/>
        <v>0</v>
      </c>
      <c r="AE8" s="62">
        <f t="shared" si="9"/>
        <v>0</v>
      </c>
      <c r="AF8" s="62">
        <f t="shared" si="10"/>
        <v>0</v>
      </c>
      <c r="AG8" s="62">
        <f t="shared" si="1"/>
        <v>0</v>
      </c>
    </row>
    <row r="9" spans="1:38">
      <c r="B9" s="86" t="s">
        <v>31</v>
      </c>
      <c r="C9" s="138">
        <f>'version consolidée hors UE'!AO12</f>
        <v>1035481.6399999999</v>
      </c>
      <c r="D9" s="22">
        <f t="shared" si="2"/>
        <v>4.8940291175720869E-3</v>
      </c>
      <c r="E9" s="86">
        <f t="shared" si="0"/>
        <v>12</v>
      </c>
      <c r="P9"/>
      <c r="Q9" s="86" t="s">
        <v>31</v>
      </c>
      <c r="R9" s="53">
        <f>'version consolidée hors UE'!F12</f>
        <v>192070.16</v>
      </c>
      <c r="S9" s="53">
        <f>'version consolidée hors UE'!AM12*T9</f>
        <v>0</v>
      </c>
      <c r="T9" s="62">
        <f t="shared" si="3"/>
        <v>0.18548871614952056</v>
      </c>
      <c r="U9" s="53">
        <f>'version consolidée hors UE'!M12</f>
        <v>269.71999999999997</v>
      </c>
      <c r="V9" s="53">
        <f>'version consolidée hors UE'!AM12*W9</f>
        <v>0</v>
      </c>
      <c r="W9" s="231">
        <f t="shared" si="4"/>
        <v>2.6047781977090389E-4</v>
      </c>
      <c r="X9" s="53">
        <f>'version consolidée hors UE'!T12+'version consolidée hors UE'!AJ12+'version consolidée hors UE'!AL12</f>
        <v>843141.75999999989</v>
      </c>
      <c r="Y9" s="53">
        <f>'version consolidée hors UE'!AM12*Z9</f>
        <v>0</v>
      </c>
      <c r="Z9" s="231">
        <f t="shared" si="5"/>
        <v>0.81425080603070854</v>
      </c>
      <c r="AA9" s="53">
        <f t="shared" si="6"/>
        <v>1035481.6399999999</v>
      </c>
      <c r="AB9" s="53">
        <f t="shared" si="7"/>
        <v>0</v>
      </c>
      <c r="AC9" s="62">
        <f t="shared" si="8"/>
        <v>1</v>
      </c>
      <c r="AE9" s="62">
        <f t="shared" si="9"/>
        <v>9.0310837474940116E-3</v>
      </c>
      <c r="AF9" s="62">
        <f t="shared" si="10"/>
        <v>3.3967375134615485E-5</v>
      </c>
      <c r="AG9" s="62">
        <f t="shared" si="1"/>
        <v>4.6231880806760235E-3</v>
      </c>
    </row>
    <row r="10" spans="1:38">
      <c r="B10" s="86" t="s">
        <v>51</v>
      </c>
      <c r="C10" s="138">
        <f>'version consolidée hors UE'!AO13</f>
        <v>2947.15</v>
      </c>
      <c r="D10" s="22">
        <f t="shared" si="2"/>
        <v>1.3929206812254611E-5</v>
      </c>
      <c r="E10" s="86">
        <f t="shared" si="0"/>
        <v>119</v>
      </c>
      <c r="P10"/>
      <c r="Q10" s="86" t="s">
        <v>51</v>
      </c>
      <c r="R10" s="53">
        <f>'version consolidée hors UE'!F13</f>
        <v>329.84</v>
      </c>
      <c r="S10" s="53">
        <f>'version consolidée hors UE'!AM13*T10</f>
        <v>0</v>
      </c>
      <c r="T10" s="62">
        <f t="shared" si="3"/>
        <v>0.11191829394499769</v>
      </c>
      <c r="U10" s="53">
        <f>'version consolidée hors UE'!M13</f>
        <v>0</v>
      </c>
      <c r="V10" s="53">
        <f>'version consolidée hors UE'!AM13*W10</f>
        <v>0</v>
      </c>
      <c r="W10" s="231">
        <f t="shared" si="4"/>
        <v>0</v>
      </c>
      <c r="X10" s="53">
        <f>'version consolidée hors UE'!T13+'version consolidée hors UE'!AJ13+'version consolidée hors UE'!AL13</f>
        <v>2617.31</v>
      </c>
      <c r="Y10" s="53">
        <f>'version consolidée hors UE'!AM13*Z10</f>
        <v>0</v>
      </c>
      <c r="Z10" s="231">
        <f t="shared" si="5"/>
        <v>0.88808170605500225</v>
      </c>
      <c r="AA10" s="53">
        <f t="shared" si="6"/>
        <v>2947.15</v>
      </c>
      <c r="AB10" s="53">
        <f t="shared" si="7"/>
        <v>0</v>
      </c>
      <c r="AC10" s="62">
        <f t="shared" si="8"/>
        <v>1</v>
      </c>
      <c r="AE10" s="62">
        <f t="shared" si="9"/>
        <v>1.550898204735928E-5</v>
      </c>
      <c r="AF10" s="62">
        <f t="shared" si="10"/>
        <v>0</v>
      </c>
      <c r="AG10" s="62">
        <f t="shared" si="1"/>
        <v>1.4351461366869271E-5</v>
      </c>
    </row>
    <row r="11" spans="1:38">
      <c r="B11" s="132" t="s">
        <v>296</v>
      </c>
      <c r="C11" s="138">
        <f>'version consolidée hors UE'!AO14</f>
        <v>441.71999999999997</v>
      </c>
      <c r="D11" s="22">
        <f t="shared" si="2"/>
        <v>2.0877149901121784E-6</v>
      </c>
      <c r="E11" s="86">
        <f t="shared" si="0"/>
        <v>144</v>
      </c>
      <c r="P11"/>
      <c r="Q11" s="132" t="s">
        <v>296</v>
      </c>
      <c r="R11" s="53">
        <f>'version consolidée hors UE'!F14</f>
        <v>441.71999999999997</v>
      </c>
      <c r="S11" s="53">
        <f>'version consolidée hors UE'!AM14*T11</f>
        <v>0</v>
      </c>
      <c r="T11" s="62">
        <f t="shared" si="3"/>
        <v>1</v>
      </c>
      <c r="U11" s="53">
        <f>'version consolidée hors UE'!M14</f>
        <v>0</v>
      </c>
      <c r="V11" s="53">
        <f>'version consolidée hors UE'!AM14*W11</f>
        <v>0</v>
      </c>
      <c r="W11" s="231">
        <f t="shared" si="4"/>
        <v>0</v>
      </c>
      <c r="X11" s="53">
        <f>'version consolidée hors UE'!T14+'version consolidée hors UE'!AJ14+'version consolidée hors UE'!AL14</f>
        <v>0</v>
      </c>
      <c r="Y11" s="53">
        <f>'version consolidée hors UE'!AM14*Z11</f>
        <v>0</v>
      </c>
      <c r="Z11" s="231">
        <f t="shared" si="5"/>
        <v>0</v>
      </c>
      <c r="AA11" s="53">
        <f t="shared" si="6"/>
        <v>441.71999999999997</v>
      </c>
      <c r="AB11" s="53">
        <f t="shared" si="7"/>
        <v>0</v>
      </c>
      <c r="AC11" s="62">
        <f t="shared" si="8"/>
        <v>1</v>
      </c>
      <c r="AE11" s="62">
        <f t="shared" si="9"/>
        <v>2.0769547507759948E-5</v>
      </c>
      <c r="AF11" s="62">
        <f t="shared" si="10"/>
        <v>0</v>
      </c>
      <c r="AG11" s="62">
        <f t="shared" si="1"/>
        <v>0</v>
      </c>
    </row>
    <row r="12" spans="1:38">
      <c r="B12" s="86" t="s">
        <v>52</v>
      </c>
      <c r="C12" s="138">
        <f>'version consolidée hors UE'!AO15</f>
        <v>63556.119999999995</v>
      </c>
      <c r="D12" s="22">
        <f t="shared" si="2"/>
        <v>3.003872689426977E-4</v>
      </c>
      <c r="E12" s="86">
        <f t="shared" si="0"/>
        <v>55</v>
      </c>
      <c r="P12"/>
      <c r="Q12" s="86" t="s">
        <v>52</v>
      </c>
      <c r="R12" s="53">
        <f>'version consolidée hors UE'!F15</f>
        <v>25435.350000000002</v>
      </c>
      <c r="S12" s="53">
        <f>'version consolidée hors UE'!AM15*T12</f>
        <v>0</v>
      </c>
      <c r="T12" s="62">
        <f t="shared" si="3"/>
        <v>0.40020300169362139</v>
      </c>
      <c r="U12" s="53">
        <f>'version consolidée hors UE'!M15</f>
        <v>28.84</v>
      </c>
      <c r="V12" s="53">
        <f>'version consolidée hors UE'!AM15*W12</f>
        <v>0</v>
      </c>
      <c r="W12" s="231">
        <f t="shared" si="4"/>
        <v>4.5377219377142595E-4</v>
      </c>
      <c r="X12" s="53">
        <f>'version consolidée hors UE'!T15+'version consolidée hors UE'!AJ15+'version consolidée hors UE'!AL15</f>
        <v>38091.929999999993</v>
      </c>
      <c r="Y12" s="53">
        <f>'version consolidée hors UE'!AM15*Z12</f>
        <v>0</v>
      </c>
      <c r="Z12" s="231">
        <f t="shared" si="5"/>
        <v>0.59934322611260715</v>
      </c>
      <c r="AA12" s="53">
        <f t="shared" si="6"/>
        <v>63556.119999999995</v>
      </c>
      <c r="AB12" s="53">
        <f t="shared" si="7"/>
        <v>0</v>
      </c>
      <c r="AC12" s="62">
        <f t="shared" si="8"/>
        <v>1</v>
      </c>
      <c r="AE12" s="62">
        <f t="shared" si="9"/>
        <v>1.1959628502252605E-3</v>
      </c>
      <c r="AF12" s="62">
        <f t="shared" si="10"/>
        <v>3.631985388114751E-6</v>
      </c>
      <c r="AG12" s="62">
        <f t="shared" si="1"/>
        <v>2.0886897684435109E-4</v>
      </c>
    </row>
    <row r="13" spans="1:38">
      <c r="B13" s="86" t="s">
        <v>53</v>
      </c>
      <c r="C13" s="138">
        <f>'version consolidée hors UE'!AO16</f>
        <v>107240.19999999998</v>
      </c>
      <c r="D13" s="22">
        <f t="shared" si="2"/>
        <v>5.0685269646524498E-4</v>
      </c>
      <c r="E13" s="86">
        <f t="shared" si="0"/>
        <v>45</v>
      </c>
      <c r="P13"/>
      <c r="Q13" s="86" t="s">
        <v>53</v>
      </c>
      <c r="R13" s="53">
        <f>'version consolidée hors UE'!F16</f>
        <v>69799.859999999986</v>
      </c>
      <c r="S13" s="53">
        <f>'version consolidée hors UE'!AM16*T13</f>
        <v>0</v>
      </c>
      <c r="T13" s="62">
        <f t="shared" si="3"/>
        <v>0.65087401925770372</v>
      </c>
      <c r="U13" s="53">
        <f>'version consolidée hors UE'!M16</f>
        <v>59.47</v>
      </c>
      <c r="V13" s="53">
        <f>'version consolidée hors UE'!AM16*W13</f>
        <v>0</v>
      </c>
      <c r="W13" s="231">
        <f t="shared" si="4"/>
        <v>5.5454950662158419E-4</v>
      </c>
      <c r="X13" s="53">
        <f>'version consolidée hors UE'!T16+'version consolidée hors UE'!AJ16+'version consolidée hors UE'!AL16</f>
        <v>37380.870000000003</v>
      </c>
      <c r="Y13" s="53">
        <f>'version consolidée hors UE'!AM16*Z13</f>
        <v>0</v>
      </c>
      <c r="Z13" s="231">
        <f t="shared" si="5"/>
        <v>0.34857143123567474</v>
      </c>
      <c r="AA13" s="53">
        <f t="shared" si="6"/>
        <v>107240.19999999998</v>
      </c>
      <c r="AB13" s="53">
        <f t="shared" si="7"/>
        <v>0</v>
      </c>
      <c r="AC13" s="62">
        <f t="shared" si="8"/>
        <v>1</v>
      </c>
      <c r="AE13" s="62">
        <f t="shared" si="9"/>
        <v>3.2819693658991964E-3</v>
      </c>
      <c r="AF13" s="62">
        <f t="shared" si="10"/>
        <v>7.4893956668233092E-6</v>
      </c>
      <c r="AG13" s="62">
        <f t="shared" si="1"/>
        <v>2.049700309344184E-4</v>
      </c>
    </row>
    <row r="14" spans="1:38">
      <c r="B14" s="86" t="s">
        <v>54</v>
      </c>
      <c r="C14" s="138">
        <f>'version consolidée hors UE'!AO17</f>
        <v>13439.690000000002</v>
      </c>
      <c r="D14" s="22">
        <f t="shared" si="2"/>
        <v>6.3520425327041451E-5</v>
      </c>
      <c r="E14" s="86">
        <f t="shared" si="0"/>
        <v>90</v>
      </c>
      <c r="P14"/>
      <c r="Q14" s="86" t="s">
        <v>54</v>
      </c>
      <c r="R14" s="53">
        <f>'version consolidée hors UE'!F17</f>
        <v>12402.350000000002</v>
      </c>
      <c r="S14" s="53">
        <f>'version consolidée hors UE'!AM17*T14</f>
        <v>0</v>
      </c>
      <c r="T14" s="62">
        <f t="shared" si="3"/>
        <v>0.92281518398117812</v>
      </c>
      <c r="U14" s="53">
        <f>'version consolidée hors UE'!M17</f>
        <v>0</v>
      </c>
      <c r="V14" s="53">
        <f>'version consolidée hors UE'!AM17*W14</f>
        <v>0</v>
      </c>
      <c r="W14" s="231">
        <f t="shared" si="4"/>
        <v>0</v>
      </c>
      <c r="X14" s="53">
        <f>'version consolidée hors UE'!T17+'version consolidée hors UE'!AJ17+'version consolidée hors UE'!AL17</f>
        <v>1037.3400000000001</v>
      </c>
      <c r="Y14" s="53">
        <f>'version consolidée hors UE'!AM17*Z14</f>
        <v>0</v>
      </c>
      <c r="Z14" s="231">
        <f t="shared" si="5"/>
        <v>7.7184816018821864E-2</v>
      </c>
      <c r="AA14" s="53">
        <f t="shared" si="6"/>
        <v>13439.690000000002</v>
      </c>
      <c r="AB14" s="53">
        <f t="shared" si="7"/>
        <v>0</v>
      </c>
      <c r="AC14" s="62">
        <f t="shared" si="8"/>
        <v>1</v>
      </c>
      <c r="AE14" s="62">
        <f t="shared" si="9"/>
        <v>5.8315493419556878E-4</v>
      </c>
      <c r="AF14" s="62">
        <f t="shared" si="10"/>
        <v>0</v>
      </c>
      <c r="AG14" s="62">
        <f t="shared" si="1"/>
        <v>5.6880327260844804E-6</v>
      </c>
    </row>
    <row r="15" spans="1:38">
      <c r="B15" s="86" t="s">
        <v>55</v>
      </c>
      <c r="C15" s="138">
        <f>'version consolidée hors UE'!AO18</f>
        <v>299593.94</v>
      </c>
      <c r="D15" s="22">
        <f t="shared" si="2"/>
        <v>1.4159801672660704E-3</v>
      </c>
      <c r="E15" s="86">
        <f t="shared" si="0"/>
        <v>25</v>
      </c>
      <c r="P15"/>
      <c r="Q15" s="86" t="s">
        <v>55</v>
      </c>
      <c r="R15" s="53">
        <f>'version consolidée hors UE'!F18</f>
        <v>229744.91</v>
      </c>
      <c r="S15" s="53">
        <f>'version consolidée hors UE'!AM18*T15</f>
        <v>0</v>
      </c>
      <c r="T15" s="62">
        <f t="shared" si="3"/>
        <v>0.76685432956354194</v>
      </c>
      <c r="U15" s="53">
        <f>'version consolidée hors UE'!M18</f>
        <v>16.100000000000001</v>
      </c>
      <c r="V15" s="53">
        <f>'version consolidée hors UE'!AM18*W15</f>
        <v>0</v>
      </c>
      <c r="W15" s="231">
        <f t="shared" si="4"/>
        <v>5.3739404742298862E-5</v>
      </c>
      <c r="X15" s="53">
        <f>'version consolidée hors UE'!T18+'version consolidée hors UE'!AJ18+'version consolidée hors UE'!AL18</f>
        <v>69832.929999999993</v>
      </c>
      <c r="Y15" s="53">
        <f>'version consolidée hors UE'!AM18*Z15</f>
        <v>0</v>
      </c>
      <c r="Z15" s="231">
        <f t="shared" si="5"/>
        <v>0.23309193103171577</v>
      </c>
      <c r="AA15" s="53">
        <f t="shared" si="6"/>
        <v>299593.94</v>
      </c>
      <c r="AB15" s="53">
        <f t="shared" si="7"/>
        <v>0</v>
      </c>
      <c r="AC15" s="62">
        <f t="shared" si="8"/>
        <v>1</v>
      </c>
      <c r="AE15" s="62">
        <f t="shared" si="9"/>
        <v>1.0802539669725242E-2</v>
      </c>
      <c r="AF15" s="62">
        <f t="shared" si="10"/>
        <v>2.0275646584135746E-6</v>
      </c>
      <c r="AG15" s="62">
        <f t="shared" si="1"/>
        <v>3.8291398307051364E-4</v>
      </c>
    </row>
    <row r="16" spans="1:38">
      <c r="B16" s="86" t="s">
        <v>56</v>
      </c>
      <c r="C16" s="138">
        <f>'version consolidée hors UE'!AO19</f>
        <v>463.5</v>
      </c>
      <c r="D16" s="22">
        <f t="shared" si="2"/>
        <v>2.1906544822896737E-6</v>
      </c>
      <c r="E16" s="86">
        <f t="shared" si="0"/>
        <v>143</v>
      </c>
      <c r="P16"/>
      <c r="Q16" s="86" t="s">
        <v>56</v>
      </c>
      <c r="R16" s="53">
        <f>'version consolidée hors UE'!F19</f>
        <v>198.54</v>
      </c>
      <c r="S16" s="53">
        <f>'version consolidée hors UE'!AM19*T16</f>
        <v>0</v>
      </c>
      <c r="T16" s="62">
        <f t="shared" si="3"/>
        <v>0.42834951456310677</v>
      </c>
      <c r="U16" s="53">
        <f>'version consolidée hors UE'!M19</f>
        <v>0</v>
      </c>
      <c r="V16" s="53">
        <f>'version consolidée hors UE'!AM19*W16</f>
        <v>0</v>
      </c>
      <c r="W16" s="231">
        <f t="shared" si="4"/>
        <v>0</v>
      </c>
      <c r="X16" s="53">
        <f>'version consolidée hors UE'!T19+'version consolidée hors UE'!AJ19+'version consolidée hors UE'!AL19</f>
        <v>264.96000000000004</v>
      </c>
      <c r="Y16" s="53">
        <f>'version consolidée hors UE'!AM19*Z16</f>
        <v>0</v>
      </c>
      <c r="Z16" s="231">
        <f t="shared" si="5"/>
        <v>0.57165048543689323</v>
      </c>
      <c r="AA16" s="53">
        <f t="shared" si="6"/>
        <v>463.5</v>
      </c>
      <c r="AB16" s="53">
        <f t="shared" si="7"/>
        <v>0</v>
      </c>
      <c r="AC16" s="62">
        <f t="shared" si="8"/>
        <v>1</v>
      </c>
      <c r="AE16" s="62">
        <f t="shared" si="9"/>
        <v>9.3352937657128048E-6</v>
      </c>
      <c r="AF16" s="62">
        <f t="shared" si="10"/>
        <v>0</v>
      </c>
      <c r="AG16" s="62">
        <f t="shared" si="1"/>
        <v>1.4528516697547034E-6</v>
      </c>
    </row>
    <row r="17" spans="2:33">
      <c r="B17" s="132" t="s">
        <v>297</v>
      </c>
      <c r="C17" s="138">
        <f>'version consolidée hors UE'!AO20</f>
        <v>13005.300000000001</v>
      </c>
      <c r="D17" s="22">
        <f t="shared" si="2"/>
        <v>6.1467354344168061E-5</v>
      </c>
      <c r="E17" s="86">
        <f t="shared" si="0"/>
        <v>91</v>
      </c>
      <c r="P17"/>
      <c r="Q17" s="132" t="s">
        <v>297</v>
      </c>
      <c r="R17" s="53">
        <f>'version consolidée hors UE'!F20</f>
        <v>13005.300000000001</v>
      </c>
      <c r="S17" s="53">
        <f>'version consolidée hors UE'!AM20*T17</f>
        <v>0</v>
      </c>
      <c r="T17" s="62">
        <f t="shared" si="3"/>
        <v>1</v>
      </c>
      <c r="U17" s="53">
        <f>'version consolidée hors UE'!M20</f>
        <v>0</v>
      </c>
      <c r="V17" s="53">
        <f>'version consolidée hors UE'!AM20*W17</f>
        <v>0</v>
      </c>
      <c r="W17" s="231">
        <f t="shared" si="4"/>
        <v>0</v>
      </c>
      <c r="X17" s="53">
        <f>'version consolidée hors UE'!T20+'version consolidée hors UE'!AJ20+'version consolidée hors UE'!AL20</f>
        <v>0</v>
      </c>
      <c r="Y17" s="53">
        <f>'version consolidée hors UE'!AM20*Z17</f>
        <v>0</v>
      </c>
      <c r="Z17" s="231">
        <f t="shared" si="5"/>
        <v>0</v>
      </c>
      <c r="AA17" s="53">
        <f t="shared" si="6"/>
        <v>13005.300000000001</v>
      </c>
      <c r="AB17" s="53">
        <f t="shared" si="7"/>
        <v>0</v>
      </c>
      <c r="AC17" s="62">
        <f t="shared" si="8"/>
        <v>1</v>
      </c>
      <c r="AE17" s="62">
        <f t="shared" si="9"/>
        <v>6.1150546998702904E-4</v>
      </c>
      <c r="AF17" s="62">
        <f t="shared" si="10"/>
        <v>0</v>
      </c>
      <c r="AG17" s="62">
        <f t="shared" si="1"/>
        <v>0</v>
      </c>
    </row>
    <row r="18" spans="2:33">
      <c r="B18" s="86" t="s">
        <v>57</v>
      </c>
      <c r="C18" s="138">
        <f>'version consolidée hors UE'!AO21</f>
        <v>14914.420000000002</v>
      </c>
      <c r="D18" s="22">
        <f t="shared" si="2"/>
        <v>7.0490487645632707E-5</v>
      </c>
      <c r="E18" s="86">
        <f t="shared" si="0"/>
        <v>87</v>
      </c>
      <c r="F18" s="57"/>
      <c r="G18" s="40" t="s">
        <v>284</v>
      </c>
      <c r="H18" s="57"/>
      <c r="I18" s="57"/>
      <c r="J18" s="57"/>
      <c r="K18" s="57"/>
      <c r="L18" s="57"/>
      <c r="M18" s="57"/>
      <c r="P18"/>
      <c r="Q18" s="86" t="s">
        <v>57</v>
      </c>
      <c r="R18" s="53">
        <f>'version consolidée hors UE'!F21</f>
        <v>1728.29</v>
      </c>
      <c r="S18" s="53">
        <f>'version consolidée hors UE'!AM21*T18</f>
        <v>0</v>
      </c>
      <c r="T18" s="62">
        <f t="shared" si="3"/>
        <v>0.11588047004174482</v>
      </c>
      <c r="U18" s="53">
        <f>'version consolidée hors UE'!M21</f>
        <v>0</v>
      </c>
      <c r="V18" s="53">
        <f>'version consolidée hors UE'!AM21*W18</f>
        <v>0</v>
      </c>
      <c r="W18" s="231">
        <f t="shared" si="4"/>
        <v>0</v>
      </c>
      <c r="X18" s="53">
        <f>'version consolidée hors UE'!T21+'version consolidée hors UE'!AJ21+'version consolidée hors UE'!AL21</f>
        <v>13186.130000000001</v>
      </c>
      <c r="Y18" s="53">
        <f>'version consolidée hors UE'!AM21*Z18</f>
        <v>0</v>
      </c>
      <c r="Z18" s="231">
        <f t="shared" si="5"/>
        <v>0.88411952995825516</v>
      </c>
      <c r="AA18" s="53">
        <f t="shared" si="6"/>
        <v>14914.420000000002</v>
      </c>
      <c r="AB18" s="53">
        <f t="shared" si="7"/>
        <v>0</v>
      </c>
      <c r="AC18" s="62">
        <f t="shared" si="8"/>
        <v>1</v>
      </c>
      <c r="AE18" s="62">
        <f t="shared" si="9"/>
        <v>8.1263699316731053E-5</v>
      </c>
      <c r="AF18" s="62">
        <f t="shared" si="10"/>
        <v>0</v>
      </c>
      <c r="AG18" s="62">
        <f t="shared" si="1"/>
        <v>7.2303332533599739E-5</v>
      </c>
    </row>
    <row r="19" spans="2:33">
      <c r="B19" s="86" t="s">
        <v>58</v>
      </c>
      <c r="C19" s="138">
        <f>'version consolidée hors UE'!AO22</f>
        <v>489.28999999999996</v>
      </c>
      <c r="D19" s="22">
        <f t="shared" si="2"/>
        <v>2.3125465623290494E-6</v>
      </c>
      <c r="E19" s="86">
        <f t="shared" si="0"/>
        <v>142</v>
      </c>
      <c r="H19" s="70"/>
      <c r="P19"/>
      <c r="Q19" s="86" t="s">
        <v>58</v>
      </c>
      <c r="R19" s="53">
        <f>'version consolidée hors UE'!F22</f>
        <v>76.22</v>
      </c>
      <c r="S19" s="53">
        <f>'version consolidée hors UE'!AM22*T19</f>
        <v>0</v>
      </c>
      <c r="T19" s="62">
        <f t="shared" si="3"/>
        <v>0.15577673772200537</v>
      </c>
      <c r="U19" s="53">
        <f>'version consolidée hors UE'!M22</f>
        <v>0</v>
      </c>
      <c r="V19" s="53">
        <f>'version consolidée hors UE'!AM22*W19</f>
        <v>0</v>
      </c>
      <c r="W19" s="231">
        <f t="shared" si="4"/>
        <v>0</v>
      </c>
      <c r="X19" s="53">
        <f>'version consolidée hors UE'!T22+'version consolidée hors UE'!AJ22+'version consolidée hors UE'!AL22</f>
        <v>413.07</v>
      </c>
      <c r="Y19" s="53">
        <f>'version consolidée hors UE'!AM22*Z19</f>
        <v>0</v>
      </c>
      <c r="Z19" s="231">
        <f t="shared" si="5"/>
        <v>0.84422326227799471</v>
      </c>
      <c r="AA19" s="53">
        <f t="shared" si="6"/>
        <v>489.28999999999996</v>
      </c>
      <c r="AB19" s="53">
        <f t="shared" si="7"/>
        <v>0</v>
      </c>
      <c r="AC19" s="62">
        <f t="shared" si="8"/>
        <v>1</v>
      </c>
      <c r="AE19" s="62">
        <f t="shared" si="9"/>
        <v>3.5838425043952352E-6</v>
      </c>
      <c r="AF19" s="62">
        <f t="shared" si="10"/>
        <v>0</v>
      </c>
      <c r="AG19" s="62">
        <f t="shared" si="1"/>
        <v>2.2649812772704378E-6</v>
      </c>
    </row>
    <row r="20" spans="2:33">
      <c r="B20" s="132" t="s">
        <v>298</v>
      </c>
      <c r="C20" s="138">
        <f>'version consolidée hors UE'!AO23</f>
        <v>937.24</v>
      </c>
      <c r="D20" s="22">
        <f t="shared" si="2"/>
        <v>4.4297065954286381E-6</v>
      </c>
      <c r="E20" s="86">
        <f t="shared" si="0"/>
        <v>138</v>
      </c>
      <c r="G20" s="70"/>
      <c r="H20" s="70"/>
      <c r="L20" s="69" t="str">
        <f>INDEX(HorsEurope_D,MATCH(1,$E$4:$E$189,0),1)</f>
        <v>Algérie</v>
      </c>
      <c r="M20" s="260">
        <f>INDEX(HorsEurope_D,MATCH(1,$E$4:$E$189,0),2)</f>
        <v>72370665.016685903</v>
      </c>
      <c r="N20" s="169"/>
      <c r="P20"/>
      <c r="Q20" s="132" t="s">
        <v>298</v>
      </c>
      <c r="R20" s="53">
        <f>'version consolidée hors UE'!F23</f>
        <v>937.24</v>
      </c>
      <c r="S20" s="53">
        <f>'version consolidée hors UE'!AM23*T20</f>
        <v>0</v>
      </c>
      <c r="T20" s="62">
        <f t="shared" si="3"/>
        <v>1</v>
      </c>
      <c r="U20" s="53">
        <f>'version consolidée hors UE'!M23</f>
        <v>0</v>
      </c>
      <c r="V20" s="53">
        <f>'version consolidée hors UE'!AM23*W20</f>
        <v>0</v>
      </c>
      <c r="W20" s="231">
        <f t="shared" si="4"/>
        <v>0</v>
      </c>
      <c r="X20" s="53">
        <f>'version consolidée hors UE'!T23+'version consolidée hors UE'!AJ23+'version consolidée hors UE'!AL23</f>
        <v>0</v>
      </c>
      <c r="Y20" s="53">
        <f>'version consolidée hors UE'!AM23*Z20</f>
        <v>0</v>
      </c>
      <c r="Z20" s="231">
        <f t="shared" si="5"/>
        <v>0</v>
      </c>
      <c r="AA20" s="53">
        <f t="shared" si="6"/>
        <v>937.24</v>
      </c>
      <c r="AB20" s="53">
        <f t="shared" si="7"/>
        <v>0</v>
      </c>
      <c r="AC20" s="62">
        <f t="shared" si="8"/>
        <v>1</v>
      </c>
      <c r="AE20" s="62">
        <f t="shared" si="9"/>
        <v>4.4068755560474814E-5</v>
      </c>
      <c r="AF20" s="62">
        <f t="shared" si="10"/>
        <v>0</v>
      </c>
      <c r="AG20" s="62">
        <f t="shared" si="1"/>
        <v>0</v>
      </c>
    </row>
    <row r="21" spans="2:33">
      <c r="B21" s="86" t="s">
        <v>161</v>
      </c>
      <c r="C21" s="138">
        <f>'version consolidée hors UE'!AO24</f>
        <v>2383.15</v>
      </c>
      <c r="D21" s="22">
        <f t="shared" si="2"/>
        <v>1.126355605063352E-5</v>
      </c>
      <c r="E21" s="86">
        <f t="shared" si="0"/>
        <v>123</v>
      </c>
      <c r="G21" s="61"/>
      <c r="H21" s="61"/>
      <c r="L21" s="69" t="str">
        <f>INDEX(HorsEurope_D,MATCH(2,$E$4:$E$189,0),1)</f>
        <v>Polynésie Française</v>
      </c>
      <c r="M21" s="260">
        <f>INDEX(HorsEurope_D,MATCH(2,$E$4:$E$189,0),2)</f>
        <v>62124590.950000003</v>
      </c>
      <c r="N21" s="169"/>
      <c r="P21"/>
      <c r="Q21" s="86" t="s">
        <v>161</v>
      </c>
      <c r="R21" s="53">
        <f>'version consolidée hors UE'!F24</f>
        <v>2064.73</v>
      </c>
      <c r="S21" s="53">
        <f>'version consolidée hors UE'!AM24*T21</f>
        <v>0</v>
      </c>
      <c r="T21" s="62">
        <f t="shared" si="3"/>
        <v>0.86638692486834645</v>
      </c>
      <c r="U21" s="53">
        <f>'version consolidée hors UE'!M24</f>
        <v>0</v>
      </c>
      <c r="V21" s="53">
        <f>'version consolidée hors UE'!AM24*W21</f>
        <v>0</v>
      </c>
      <c r="W21" s="231">
        <f t="shared" si="4"/>
        <v>0</v>
      </c>
      <c r="X21" s="53">
        <f>'version consolidée hors UE'!T24+'version consolidée hors UE'!AJ24+'version consolidée hors UE'!AL24</f>
        <v>318.41999999999996</v>
      </c>
      <c r="Y21" s="53">
        <f>'version consolidée hors UE'!AM24*Z21</f>
        <v>0</v>
      </c>
      <c r="Z21" s="231">
        <f t="shared" si="5"/>
        <v>0.13361307513165346</v>
      </c>
      <c r="AA21" s="53">
        <f t="shared" si="6"/>
        <v>2383.15</v>
      </c>
      <c r="AB21" s="53">
        <f t="shared" si="7"/>
        <v>0</v>
      </c>
      <c r="AC21" s="62">
        <f t="shared" si="8"/>
        <v>0.99999999999999989</v>
      </c>
      <c r="AE21" s="62">
        <f t="shared" si="9"/>
        <v>9.7083011468118263E-5</v>
      </c>
      <c r="AF21" s="62">
        <f t="shared" si="10"/>
        <v>0</v>
      </c>
      <c r="AG21" s="62">
        <f t="shared" si="1"/>
        <v>1.7459881819266779E-6</v>
      </c>
    </row>
    <row r="22" spans="2:33">
      <c r="B22" s="86" t="s">
        <v>153</v>
      </c>
      <c r="C22" s="138">
        <f>'version consolidée hors UE'!AO25</f>
        <v>57545.09</v>
      </c>
      <c r="D22" s="22">
        <f t="shared" si="2"/>
        <v>2.7197715068449338E-4</v>
      </c>
      <c r="E22" s="86">
        <f t="shared" si="0"/>
        <v>56</v>
      </c>
      <c r="L22" s="69" t="str">
        <f>INDEX(HorsEurope_D,MATCH(3,$E$4:$E$189,0),1)</f>
        <v>Maroc</v>
      </c>
      <c r="M22" s="260">
        <f>INDEX(HorsEurope_D,MATCH(3,$E$4:$E$189,0),2)</f>
        <v>16135816.560000001</v>
      </c>
      <c r="N22" s="169"/>
      <c r="P22"/>
      <c r="Q22" s="86" t="s">
        <v>153</v>
      </c>
      <c r="R22" s="53">
        <f>'version consolidée hors UE'!F25</f>
        <v>19315.05</v>
      </c>
      <c r="S22" s="53">
        <f>'version consolidée hors UE'!AM25*T22</f>
        <v>0</v>
      </c>
      <c r="T22" s="62">
        <f t="shared" si="3"/>
        <v>0.33565070451710127</v>
      </c>
      <c r="U22" s="53">
        <f>'version consolidée hors UE'!M25</f>
        <v>15357.93</v>
      </c>
      <c r="V22" s="53">
        <f>'version consolidée hors UE'!AM25*W22</f>
        <v>0</v>
      </c>
      <c r="W22" s="231">
        <f t="shared" si="4"/>
        <v>0.26688515040987859</v>
      </c>
      <c r="X22" s="53">
        <f>'version consolidée hors UE'!T25+'version consolidée hors UE'!AJ25+'version consolidée hors UE'!AL25</f>
        <v>22872.11</v>
      </c>
      <c r="Y22" s="53">
        <f>'version consolidée hors UE'!AM25*Z22</f>
        <v>0</v>
      </c>
      <c r="Z22" s="231">
        <f t="shared" si="5"/>
        <v>0.39746414507302019</v>
      </c>
      <c r="AA22" s="53">
        <f t="shared" si="6"/>
        <v>57545.09</v>
      </c>
      <c r="AB22" s="53">
        <f t="shared" si="7"/>
        <v>0</v>
      </c>
      <c r="AC22" s="62">
        <f t="shared" si="8"/>
        <v>1</v>
      </c>
      <c r="AE22" s="62">
        <f t="shared" si="9"/>
        <v>9.0818810239463638E-4</v>
      </c>
      <c r="AF22" s="62">
        <f t="shared" si="10"/>
        <v>1.9341115586577386E-3</v>
      </c>
      <c r="AG22" s="62">
        <f t="shared" si="1"/>
        <v>1.2541433878439479E-4</v>
      </c>
    </row>
    <row r="23" spans="2:33">
      <c r="B23" s="132" t="s">
        <v>299</v>
      </c>
      <c r="C23" s="138">
        <f>'version consolidée hors UE'!AO26</f>
        <v>0</v>
      </c>
      <c r="D23" s="22">
        <f t="shared" si="2"/>
        <v>0</v>
      </c>
      <c r="E23" s="86">
        <f t="shared" si="0"/>
        <v>168</v>
      </c>
      <c r="L23" s="69" t="str">
        <f>INDEX(HorsEurope_D,MATCH(4,$E$4:$E$189,0),1)</f>
        <v>Nouvelle-Calédonie</v>
      </c>
      <c r="M23" s="260">
        <f>INDEX(HorsEurope_D,MATCH(4,$E$4:$E$189,0),2)</f>
        <v>15344338.890000001</v>
      </c>
      <c r="N23" s="169"/>
      <c r="P23"/>
      <c r="Q23" s="132" t="s">
        <v>299</v>
      </c>
      <c r="R23" s="53">
        <f>'version consolidée hors UE'!F26</f>
        <v>0</v>
      </c>
      <c r="S23" s="53">
        <f>'version consolidée hors UE'!AM26*T23</f>
        <v>0</v>
      </c>
      <c r="T23" s="62">
        <f t="shared" si="3"/>
        <v>0</v>
      </c>
      <c r="U23" s="53">
        <f>'version consolidée hors UE'!M26</f>
        <v>0</v>
      </c>
      <c r="V23" s="53">
        <f>'version consolidée hors UE'!AM26*W23</f>
        <v>0</v>
      </c>
      <c r="W23" s="231">
        <f t="shared" si="4"/>
        <v>0</v>
      </c>
      <c r="X23" s="53">
        <f>'version consolidée hors UE'!T26+'version consolidée hors UE'!AJ26+'version consolidée hors UE'!AL26</f>
        <v>0</v>
      </c>
      <c r="Y23" s="53">
        <f>'version consolidée hors UE'!AM26*Z23</f>
        <v>0</v>
      </c>
      <c r="Z23" s="231">
        <f t="shared" si="5"/>
        <v>0</v>
      </c>
      <c r="AA23" s="53">
        <f t="shared" si="6"/>
        <v>0</v>
      </c>
      <c r="AB23" s="53">
        <f t="shared" si="7"/>
        <v>0</v>
      </c>
      <c r="AC23" s="62">
        <f t="shared" si="8"/>
        <v>0</v>
      </c>
      <c r="AE23" s="62">
        <f t="shared" si="9"/>
        <v>0</v>
      </c>
      <c r="AF23" s="62">
        <f t="shared" si="10"/>
        <v>0</v>
      </c>
      <c r="AG23" s="62">
        <f t="shared" si="1"/>
        <v>0</v>
      </c>
    </row>
    <row r="24" spans="2:33">
      <c r="B24" s="86" t="s">
        <v>162</v>
      </c>
      <c r="C24" s="138">
        <f>'version consolidée hors UE'!AO27</f>
        <v>8829.9</v>
      </c>
      <c r="D24" s="22">
        <f t="shared" si="2"/>
        <v>4.1733031312124248E-5</v>
      </c>
      <c r="E24" s="86">
        <f t="shared" si="0"/>
        <v>102</v>
      </c>
      <c r="L24" s="69" t="str">
        <f>INDEX(HorsEurope_D,MATCH(5,$E$4:$E$189,0),1)</f>
        <v>Tunisie</v>
      </c>
      <c r="M24" s="260">
        <f>INDEX(HorsEurope_D,MATCH(5,$E$4:$E$189,0),2)</f>
        <v>9912414.2902603</v>
      </c>
      <c r="N24" s="169"/>
      <c r="P24"/>
      <c r="Q24" s="86" t="s">
        <v>162</v>
      </c>
      <c r="R24" s="53">
        <f>'version consolidée hors UE'!F27</f>
        <v>8829.9</v>
      </c>
      <c r="S24" s="53">
        <f>'version consolidée hors UE'!AM27*T24</f>
        <v>0</v>
      </c>
      <c r="T24" s="62">
        <f t="shared" si="3"/>
        <v>1</v>
      </c>
      <c r="U24" s="53">
        <f>'version consolidée hors UE'!M27</f>
        <v>0</v>
      </c>
      <c r="V24" s="53">
        <f>'version consolidée hors UE'!AM27*W24</f>
        <v>0</v>
      </c>
      <c r="W24" s="231">
        <f t="shared" si="4"/>
        <v>0</v>
      </c>
      <c r="X24" s="53">
        <f>'version consolidée hors UE'!T27+'version consolidée hors UE'!AJ27+'version consolidée hors UE'!AL27</f>
        <v>0</v>
      </c>
      <c r="Y24" s="53">
        <f>'version consolidée hors UE'!AM27*Z24</f>
        <v>0</v>
      </c>
      <c r="Z24" s="231">
        <f t="shared" si="5"/>
        <v>0</v>
      </c>
      <c r="AA24" s="53">
        <f t="shared" si="6"/>
        <v>8829.9</v>
      </c>
      <c r="AB24" s="53">
        <f t="shared" si="7"/>
        <v>0</v>
      </c>
      <c r="AC24" s="62">
        <f t="shared" si="8"/>
        <v>1</v>
      </c>
      <c r="AE24" s="62">
        <f t="shared" si="9"/>
        <v>4.151793614479072E-4</v>
      </c>
      <c r="AF24" s="62">
        <f t="shared" si="10"/>
        <v>0</v>
      </c>
      <c r="AG24" s="62">
        <f t="shared" si="1"/>
        <v>0</v>
      </c>
    </row>
    <row r="25" spans="2:33">
      <c r="B25" s="86" t="s">
        <v>59</v>
      </c>
      <c r="C25" s="138">
        <f>'version consolidée hors UE'!AO28</f>
        <v>17467.440000000002</v>
      </c>
      <c r="D25" s="22">
        <f t="shared" si="2"/>
        <v>8.2556905566614765E-5</v>
      </c>
      <c r="E25" s="86">
        <f t="shared" si="0"/>
        <v>79</v>
      </c>
      <c r="L25" s="69" t="s">
        <v>189</v>
      </c>
      <c r="M25" s="260">
        <f>C190-M20-M21-M22-M23-M24</f>
        <v>35692778.96949251</v>
      </c>
      <c r="N25" s="236"/>
      <c r="P25"/>
      <c r="Q25" s="86" t="s">
        <v>59</v>
      </c>
      <c r="R25" s="53">
        <f>'version consolidée hors UE'!F28</f>
        <v>16996.190000000002</v>
      </c>
      <c r="S25" s="53">
        <f>'version consolidée hors UE'!AM28*T25</f>
        <v>0</v>
      </c>
      <c r="T25" s="62">
        <f t="shared" si="3"/>
        <v>0.97302123264771478</v>
      </c>
      <c r="U25" s="53">
        <f>'version consolidée hors UE'!M28</f>
        <v>0</v>
      </c>
      <c r="V25" s="53">
        <f>'version consolidée hors UE'!AM28*W25</f>
        <v>0</v>
      </c>
      <c r="W25" s="231">
        <f t="shared" si="4"/>
        <v>0</v>
      </c>
      <c r="X25" s="53">
        <f>'version consolidée hors UE'!T28+'version consolidée hors UE'!AJ28+'version consolidée hors UE'!AL28</f>
        <v>471.25</v>
      </c>
      <c r="Y25" s="53">
        <f>'version consolidée hors UE'!AM28*Z25</f>
        <v>0</v>
      </c>
      <c r="Z25" s="231">
        <f t="shared" si="5"/>
        <v>2.6978767352285164E-2</v>
      </c>
      <c r="AA25" s="53">
        <f t="shared" si="6"/>
        <v>17467.440000000002</v>
      </c>
      <c r="AB25" s="53">
        <f t="shared" si="7"/>
        <v>0</v>
      </c>
      <c r="AC25" s="62">
        <f t="shared" si="8"/>
        <v>1</v>
      </c>
      <c r="AE25" s="62">
        <f t="shared" si="9"/>
        <v>7.9915597133006116E-4</v>
      </c>
      <c r="AF25" s="62">
        <f t="shared" si="10"/>
        <v>0</v>
      </c>
      <c r="AG25" s="62">
        <f t="shared" si="1"/>
        <v>2.5839989031246372E-6</v>
      </c>
    </row>
    <row r="26" spans="2:33">
      <c r="B26" s="86" t="s">
        <v>60</v>
      </c>
      <c r="C26" s="138">
        <f>'version consolidée hors UE'!AO29</f>
        <v>103933.90999999999</v>
      </c>
      <c r="D26" s="22">
        <f t="shared" si="2"/>
        <v>4.9122607508822339E-4</v>
      </c>
      <c r="E26" s="86">
        <f t="shared" si="0"/>
        <v>47</v>
      </c>
      <c r="M26" s="274"/>
      <c r="P26"/>
      <c r="Q26" s="86" t="s">
        <v>60</v>
      </c>
      <c r="R26" s="53">
        <f>'version consolidée hors UE'!F29</f>
        <v>50044.799999999996</v>
      </c>
      <c r="S26" s="53">
        <f>'version consolidée hors UE'!AM29*T26</f>
        <v>0</v>
      </c>
      <c r="T26" s="62">
        <f t="shared" si="3"/>
        <v>0.48150598779551351</v>
      </c>
      <c r="U26" s="53">
        <f>'version consolidée hors UE'!M29</f>
        <v>0</v>
      </c>
      <c r="V26" s="53">
        <f>'version consolidée hors UE'!AM29*W26</f>
        <v>0</v>
      </c>
      <c r="W26" s="231">
        <f t="shared" si="4"/>
        <v>0</v>
      </c>
      <c r="X26" s="53">
        <f>'version consolidée hors UE'!T29+'version consolidée hors UE'!AJ29+'version consolidée hors UE'!AL29</f>
        <v>53889.109999999993</v>
      </c>
      <c r="Y26" s="53">
        <f>'version consolidée hors UE'!AM29*Z26</f>
        <v>0</v>
      </c>
      <c r="Z26" s="231">
        <f t="shared" si="5"/>
        <v>0.51849401220448643</v>
      </c>
      <c r="AA26" s="53">
        <f t="shared" si="6"/>
        <v>103933.90999999999</v>
      </c>
      <c r="AB26" s="53">
        <f t="shared" si="7"/>
        <v>0</v>
      </c>
      <c r="AC26" s="62">
        <f t="shared" si="8"/>
        <v>1</v>
      </c>
      <c r="AE26" s="62">
        <f t="shared" si="9"/>
        <v>2.3530921197055712E-3</v>
      </c>
      <c r="AF26" s="62">
        <f t="shared" si="10"/>
        <v>0</v>
      </c>
      <c r="AG26" s="62">
        <f t="shared" si="1"/>
        <v>2.9548944536947038E-4</v>
      </c>
    </row>
    <row r="27" spans="2:33">
      <c r="B27" s="86" t="s">
        <v>154</v>
      </c>
      <c r="C27" s="138">
        <f>'version consolidée hors UE'!AO30</f>
        <v>16296.16</v>
      </c>
      <c r="D27" s="22">
        <f t="shared" si="2"/>
        <v>7.7021048431736113E-5</v>
      </c>
      <c r="E27" s="86">
        <f t="shared" si="0"/>
        <v>85</v>
      </c>
      <c r="P27"/>
      <c r="Q27" s="86" t="s">
        <v>154</v>
      </c>
      <c r="R27" s="53">
        <f>'version consolidée hors UE'!F30</f>
        <v>15066.92</v>
      </c>
      <c r="S27" s="53">
        <f>'version consolidée hors UE'!AM30*T27</f>
        <v>0</v>
      </c>
      <c r="T27" s="62">
        <f t="shared" si="3"/>
        <v>0.92456873275667395</v>
      </c>
      <c r="U27" s="53">
        <f>'version consolidée hors UE'!M30</f>
        <v>0</v>
      </c>
      <c r="V27" s="53">
        <f>'version consolidée hors UE'!AM30*W27</f>
        <v>0</v>
      </c>
      <c r="W27" s="231">
        <f t="shared" si="4"/>
        <v>0</v>
      </c>
      <c r="X27" s="53">
        <f>'version consolidée hors UE'!T30+'version consolidée hors UE'!AJ30+'version consolidée hors UE'!AL30</f>
        <v>1229.24</v>
      </c>
      <c r="Y27" s="53">
        <f>'version consolidée hors UE'!AM30*Z27</f>
        <v>0</v>
      </c>
      <c r="Z27" s="231">
        <f t="shared" si="5"/>
        <v>7.5431267243326036E-2</v>
      </c>
      <c r="AA27" s="53">
        <f t="shared" si="6"/>
        <v>16296.16</v>
      </c>
      <c r="AB27" s="53">
        <f t="shared" si="7"/>
        <v>0</v>
      </c>
      <c r="AC27" s="62">
        <f t="shared" si="8"/>
        <v>1</v>
      </c>
      <c r="AE27" s="62">
        <f t="shared" si="9"/>
        <v>7.0844225014855236E-4</v>
      </c>
      <c r="AF27" s="62">
        <f t="shared" si="10"/>
        <v>0</v>
      </c>
      <c r="AG27" s="62">
        <f t="shared" si="1"/>
        <v>6.7402754624444117E-6</v>
      </c>
    </row>
    <row r="28" spans="2:33">
      <c r="B28" s="86" t="s">
        <v>214</v>
      </c>
      <c r="C28" s="138">
        <f>'version consolidée hors UE'!AO31</f>
        <v>1307.92</v>
      </c>
      <c r="D28" s="22">
        <f t="shared" si="2"/>
        <v>6.1816630215238628E-6</v>
      </c>
      <c r="E28" s="86">
        <f t="shared" si="0"/>
        <v>132</v>
      </c>
      <c r="P28"/>
      <c r="Q28" s="86" t="s">
        <v>214</v>
      </c>
      <c r="R28" s="53">
        <f>'version consolidée hors UE'!F31</f>
        <v>279.01</v>
      </c>
      <c r="S28" s="53">
        <f>'version consolidée hors UE'!AM31*T28</f>
        <v>0</v>
      </c>
      <c r="T28" s="62">
        <f t="shared" si="3"/>
        <v>0.21332344485901278</v>
      </c>
      <c r="U28" s="53">
        <f>'version consolidée hors UE'!M31</f>
        <v>0</v>
      </c>
      <c r="V28" s="53">
        <f>'version consolidée hors UE'!AM31*W28</f>
        <v>0</v>
      </c>
      <c r="W28" s="231">
        <f t="shared" si="4"/>
        <v>0</v>
      </c>
      <c r="X28" s="53">
        <f>'version consolidée hors UE'!T31+'version consolidée hors UE'!AJ31+'version consolidée hors UE'!AL31</f>
        <v>1028.9100000000001</v>
      </c>
      <c r="Y28" s="53">
        <f>'version consolidée hors UE'!AM31*Z28</f>
        <v>0</v>
      </c>
      <c r="Z28" s="231">
        <f t="shared" si="5"/>
        <v>0.78667655514098722</v>
      </c>
      <c r="AA28" s="53">
        <f t="shared" si="6"/>
        <v>1307.92</v>
      </c>
      <c r="AB28" s="53">
        <f t="shared" si="7"/>
        <v>0</v>
      </c>
      <c r="AC28" s="62">
        <f t="shared" si="8"/>
        <v>1</v>
      </c>
      <c r="AE28" s="62">
        <f t="shared" si="9"/>
        <v>1.3118970049216931E-5</v>
      </c>
      <c r="AF28" s="62">
        <f t="shared" si="10"/>
        <v>0</v>
      </c>
      <c r="AG28" s="62">
        <f t="shared" si="1"/>
        <v>5.6418086183850837E-6</v>
      </c>
    </row>
    <row r="29" spans="2:33">
      <c r="B29" s="86" t="s">
        <v>163</v>
      </c>
      <c r="C29" s="138">
        <f>'version consolidée hors UE'!AO32</f>
        <v>411973.55</v>
      </c>
      <c r="D29" s="22">
        <f t="shared" si="2"/>
        <v>1.9471234172433419E-3</v>
      </c>
      <c r="E29" s="86">
        <f t="shared" si="0"/>
        <v>23</v>
      </c>
      <c r="L29"/>
      <c r="M29" s="275"/>
      <c r="P29"/>
      <c r="Q29" s="86" t="s">
        <v>163</v>
      </c>
      <c r="R29" s="53">
        <f>'version consolidée hors UE'!F32</f>
        <v>237080.45</v>
      </c>
      <c r="S29" s="53">
        <f>'version consolidée hors UE'!AM32*T29</f>
        <v>0</v>
      </c>
      <c r="T29" s="62">
        <f t="shared" si="3"/>
        <v>0.57547493036870945</v>
      </c>
      <c r="U29" s="53">
        <f>'version consolidée hors UE'!M32</f>
        <v>5202.3599999999997</v>
      </c>
      <c r="V29" s="53">
        <f>'version consolidée hors UE'!AM32*W29</f>
        <v>0</v>
      </c>
      <c r="W29" s="231">
        <f t="shared" si="4"/>
        <v>1.2627898077437253E-2</v>
      </c>
      <c r="X29" s="53">
        <f>'version consolidée hors UE'!T32+'version consolidée hors UE'!AJ32+'version consolidée hors UE'!AL32</f>
        <v>169690.74</v>
      </c>
      <c r="Y29" s="53">
        <f>'version consolidée hors UE'!AM32*Z29</f>
        <v>0</v>
      </c>
      <c r="Z29" s="231">
        <f t="shared" si="5"/>
        <v>0.41189717155385336</v>
      </c>
      <c r="AA29" s="53">
        <f t="shared" si="6"/>
        <v>411973.55</v>
      </c>
      <c r="AB29" s="53">
        <f t="shared" si="7"/>
        <v>0</v>
      </c>
      <c r="AC29" s="62">
        <f t="shared" si="8"/>
        <v>1</v>
      </c>
      <c r="AE29" s="62">
        <f t="shared" si="9"/>
        <v>1.1147454653255699E-2</v>
      </c>
      <c r="AF29" s="62">
        <f t="shared" si="10"/>
        <v>6.5516281219530704E-4</v>
      </c>
      <c r="AG29" s="62">
        <f t="shared" si="1"/>
        <v>9.3046299422898252E-4</v>
      </c>
    </row>
    <row r="30" spans="2:33">
      <c r="B30" s="86" t="s">
        <v>218</v>
      </c>
      <c r="C30" s="138">
        <f>'version consolidée hors UE'!AO33</f>
        <v>397.40999999999997</v>
      </c>
      <c r="D30" s="22">
        <f t="shared" si="2"/>
        <v>1.878291257403968E-6</v>
      </c>
      <c r="E30" s="86">
        <f t="shared" si="0"/>
        <v>146</v>
      </c>
      <c r="P30"/>
      <c r="Q30" s="86" t="s">
        <v>218</v>
      </c>
      <c r="R30" s="53">
        <f>'version consolidée hors UE'!F33</f>
        <v>397.40999999999997</v>
      </c>
      <c r="S30" s="53">
        <f>'version consolidée hors UE'!AM33*T30</f>
        <v>0</v>
      </c>
      <c r="T30" s="62">
        <f t="shared" si="3"/>
        <v>1</v>
      </c>
      <c r="U30" s="53">
        <f>'version consolidée hors UE'!M33</f>
        <v>0</v>
      </c>
      <c r="V30" s="53">
        <f>'version consolidée hors UE'!AM33*W30</f>
        <v>0</v>
      </c>
      <c r="W30" s="231">
        <f t="shared" si="4"/>
        <v>0</v>
      </c>
      <c r="X30" s="53">
        <f>'version consolidée hors UE'!T33+'version consolidée hors UE'!AJ33+'version consolidée hors UE'!AL33</f>
        <v>0</v>
      </c>
      <c r="Y30" s="53">
        <f>'version consolidée hors UE'!AM33*Z30</f>
        <v>0</v>
      </c>
      <c r="Z30" s="231">
        <f t="shared" si="5"/>
        <v>0</v>
      </c>
      <c r="AA30" s="53">
        <f t="shared" si="6"/>
        <v>397.40999999999997</v>
      </c>
      <c r="AB30" s="53">
        <f t="shared" si="7"/>
        <v>0</v>
      </c>
      <c r="AC30" s="62">
        <f t="shared" si="8"/>
        <v>1</v>
      </c>
      <c r="AE30" s="62">
        <f t="shared" si="9"/>
        <v>1.8686104036627004E-5</v>
      </c>
      <c r="AF30" s="62">
        <f t="shared" si="10"/>
        <v>0</v>
      </c>
      <c r="AG30" s="62">
        <f t="shared" si="1"/>
        <v>0</v>
      </c>
    </row>
    <row r="31" spans="2:33">
      <c r="B31" s="86" t="s">
        <v>164</v>
      </c>
      <c r="C31" s="138">
        <f>'version consolidée hors UE'!AO34</f>
        <v>105752.26999999999</v>
      </c>
      <c r="D31" s="22">
        <f t="shared" si="2"/>
        <v>4.9982024657563707E-4</v>
      </c>
      <c r="E31" s="86">
        <f t="shared" si="0"/>
        <v>46</v>
      </c>
      <c r="P31"/>
      <c r="Q31" s="86" t="s">
        <v>164</v>
      </c>
      <c r="R31" s="53">
        <f>'version consolidée hors UE'!F34</f>
        <v>49359.09</v>
      </c>
      <c r="S31" s="53">
        <f>'version consolidée hors UE'!AM34*T31</f>
        <v>0</v>
      </c>
      <c r="T31" s="62">
        <f t="shared" si="3"/>
        <v>0.46674260514691551</v>
      </c>
      <c r="U31" s="53">
        <f>'version consolidée hors UE'!M34</f>
        <v>21460.81</v>
      </c>
      <c r="V31" s="53">
        <f>'version consolidée hors UE'!AM34*W31</f>
        <v>0</v>
      </c>
      <c r="W31" s="231">
        <f t="shared" si="4"/>
        <v>0.20293474551420979</v>
      </c>
      <c r="X31" s="53">
        <f>'version consolidée hors UE'!T34+'version consolidée hors UE'!AJ34+'version consolidée hors UE'!AL34</f>
        <v>34932.370000000003</v>
      </c>
      <c r="Y31" s="53">
        <f>'version consolidée hors UE'!AM34*Z31</f>
        <v>0</v>
      </c>
      <c r="Z31" s="231">
        <f t="shared" si="5"/>
        <v>0.33032264933887479</v>
      </c>
      <c r="AA31" s="53">
        <f t="shared" si="6"/>
        <v>105752.26999999999</v>
      </c>
      <c r="AB31" s="53">
        <f t="shared" si="7"/>
        <v>0</v>
      </c>
      <c r="AC31" s="62">
        <f t="shared" si="8"/>
        <v>1</v>
      </c>
      <c r="AE31" s="62">
        <f t="shared" si="9"/>
        <v>2.3208502324884518E-3</v>
      </c>
      <c r="AF31" s="62">
        <f t="shared" si="10"/>
        <v>2.7026819811756912E-3</v>
      </c>
      <c r="AG31" s="62">
        <f t="shared" si="1"/>
        <v>1.9154420321176443E-4</v>
      </c>
    </row>
    <row r="32" spans="2:33">
      <c r="B32" s="86" t="s">
        <v>61</v>
      </c>
      <c r="C32" s="138">
        <f>'version consolidée hors UE'!AO35</f>
        <v>123.44999999999999</v>
      </c>
      <c r="D32" s="22">
        <f t="shared" si="2"/>
        <v>5.834655789399357E-7</v>
      </c>
      <c r="E32" s="86">
        <f t="shared" si="0"/>
        <v>158</v>
      </c>
      <c r="P32"/>
      <c r="Q32" s="86" t="s">
        <v>61</v>
      </c>
      <c r="R32" s="53">
        <f>'version consolidée hors UE'!F35</f>
        <v>0</v>
      </c>
      <c r="S32" s="53">
        <f>'version consolidée hors UE'!AM35*T32</f>
        <v>0</v>
      </c>
      <c r="T32" s="62">
        <f t="shared" si="3"/>
        <v>0</v>
      </c>
      <c r="U32" s="53">
        <f>'version consolidée hors UE'!M35</f>
        <v>0</v>
      </c>
      <c r="V32" s="53">
        <f>'version consolidée hors UE'!AM35*W32</f>
        <v>0</v>
      </c>
      <c r="W32" s="231">
        <f t="shared" si="4"/>
        <v>0</v>
      </c>
      <c r="X32" s="53">
        <f>'version consolidée hors UE'!T35+'version consolidée hors UE'!AJ35+'version consolidée hors UE'!AL35</f>
        <v>123.44999999999999</v>
      </c>
      <c r="Y32" s="53">
        <f>'version consolidée hors UE'!AM35*Z32</f>
        <v>0</v>
      </c>
      <c r="Z32" s="231">
        <f t="shared" si="5"/>
        <v>1</v>
      </c>
      <c r="AA32" s="53">
        <f t="shared" si="6"/>
        <v>123.44999999999999</v>
      </c>
      <c r="AB32" s="53">
        <f t="shared" si="7"/>
        <v>0</v>
      </c>
      <c r="AC32" s="62">
        <f t="shared" si="8"/>
        <v>1</v>
      </c>
      <c r="AE32" s="62">
        <f t="shared" si="9"/>
        <v>0</v>
      </c>
      <c r="AF32" s="62">
        <f t="shared" si="10"/>
        <v>0</v>
      </c>
      <c r="AG32" s="62">
        <f t="shared" si="1"/>
        <v>6.7691175509970595E-7</v>
      </c>
    </row>
    <row r="33" spans="2:33">
      <c r="B33" s="86" t="s">
        <v>62</v>
      </c>
      <c r="C33" s="138">
        <f>'version consolidée hors UE'!AO36</f>
        <v>255199.45000000004</v>
      </c>
      <c r="D33" s="22">
        <f t="shared" si="2"/>
        <v>1.2061571068400423E-3</v>
      </c>
      <c r="E33" s="86">
        <f t="shared" si="0"/>
        <v>28</v>
      </c>
      <c r="P33"/>
      <c r="Q33" s="86" t="s">
        <v>62</v>
      </c>
      <c r="R33" s="53">
        <f>'version consolidée hors UE'!F36</f>
        <v>232370.40000000002</v>
      </c>
      <c r="S33" s="53">
        <f>'version consolidée hors UE'!AM36*T33</f>
        <v>0</v>
      </c>
      <c r="T33" s="62">
        <f t="shared" si="3"/>
        <v>0.91054428212913463</v>
      </c>
      <c r="U33" s="53">
        <f>'version consolidée hors UE'!M36</f>
        <v>1588.45</v>
      </c>
      <c r="V33" s="53">
        <f>'version consolidée hors UE'!AM36*W33</f>
        <v>0</v>
      </c>
      <c r="W33" s="231">
        <f t="shared" si="4"/>
        <v>6.2243472703409032E-3</v>
      </c>
      <c r="X33" s="53">
        <f>'version consolidée hors UE'!T36+'version consolidée hors UE'!AJ36+'version consolidée hors UE'!AL36</f>
        <v>21240.600000000002</v>
      </c>
      <c r="Y33" s="53">
        <f>'version consolidée hors UE'!AM36*Z33</f>
        <v>0</v>
      </c>
      <c r="Z33" s="231">
        <f t="shared" si="5"/>
        <v>8.3231370600524407E-2</v>
      </c>
      <c r="AA33" s="53">
        <f t="shared" si="6"/>
        <v>255199.45000000004</v>
      </c>
      <c r="AB33" s="53">
        <f t="shared" si="7"/>
        <v>0</v>
      </c>
      <c r="AC33" s="62">
        <f t="shared" si="8"/>
        <v>1</v>
      </c>
      <c r="AE33" s="62">
        <f t="shared" si="9"/>
        <v>1.092598945530468E-2</v>
      </c>
      <c r="AF33" s="62">
        <f t="shared" si="10"/>
        <v>2.0004255165571695E-4</v>
      </c>
      <c r="AG33" s="62">
        <f t="shared" si="1"/>
        <v>1.1646830154208844E-4</v>
      </c>
    </row>
    <row r="34" spans="2:33">
      <c r="B34" s="86" t="s">
        <v>63</v>
      </c>
      <c r="C34" s="138">
        <f>'version consolidée hors UE'!AO37</f>
        <v>135220.24</v>
      </c>
      <c r="D34" s="22">
        <f t="shared" si="2"/>
        <v>6.3909563074926738E-4</v>
      </c>
      <c r="E34" s="86">
        <f t="shared" si="0"/>
        <v>41</v>
      </c>
      <c r="G34" s="47"/>
      <c r="P34"/>
      <c r="Q34" s="86" t="s">
        <v>63</v>
      </c>
      <c r="R34" s="53">
        <f>'version consolidée hors UE'!F37</f>
        <v>61066.520000000004</v>
      </c>
      <c r="S34" s="53">
        <f>'version consolidée hors UE'!AM37*T34</f>
        <v>0</v>
      </c>
      <c r="T34" s="62">
        <f t="shared" si="3"/>
        <v>0.45160783622333467</v>
      </c>
      <c r="U34" s="53">
        <f>'version consolidée hors UE'!M37</f>
        <v>35683.259999999995</v>
      </c>
      <c r="V34" s="53">
        <f>'version consolidée hors UE'!AM37*W34</f>
        <v>0</v>
      </c>
      <c r="W34" s="231">
        <f t="shared" si="4"/>
        <v>0.26388993245389891</v>
      </c>
      <c r="X34" s="53">
        <f>'version consolidée hors UE'!T37+'version consolidée hors UE'!AJ37+'version consolidée hors UE'!AL37</f>
        <v>38470.46</v>
      </c>
      <c r="Y34" s="53">
        <f>'version consolidée hors UE'!AM37*Z34</f>
        <v>0</v>
      </c>
      <c r="Z34" s="231">
        <f t="shared" si="5"/>
        <v>0.28450223132276647</v>
      </c>
      <c r="AA34" s="53">
        <f t="shared" si="6"/>
        <v>135220.24</v>
      </c>
      <c r="AB34" s="53">
        <f t="shared" si="7"/>
        <v>0</v>
      </c>
      <c r="AC34" s="62">
        <f t="shared" si="8"/>
        <v>1</v>
      </c>
      <c r="AE34" s="62">
        <f t="shared" si="9"/>
        <v>2.8713302279126441E-3</v>
      </c>
      <c r="AF34" s="62">
        <f t="shared" si="10"/>
        <v>4.4937960790672523E-3</v>
      </c>
      <c r="AG34" s="62">
        <f t="shared" si="1"/>
        <v>2.1094456539565035E-4</v>
      </c>
    </row>
    <row r="35" spans="2:33">
      <c r="B35" s="86" t="s">
        <v>64</v>
      </c>
      <c r="C35" s="138">
        <f>'version consolidée hors UE'!AO38</f>
        <v>598559.79</v>
      </c>
      <c r="D35" s="22">
        <f t="shared" si="2"/>
        <v>2.8289917732079095E-3</v>
      </c>
      <c r="E35" s="86">
        <f t="shared" si="0"/>
        <v>18</v>
      </c>
      <c r="P35"/>
      <c r="Q35" s="86" t="s">
        <v>64</v>
      </c>
      <c r="R35" s="53">
        <f>'version consolidée hors UE'!F38</f>
        <v>480313.54</v>
      </c>
      <c r="S35" s="53">
        <f>'version consolidée hors UE'!AM38*T35</f>
        <v>0</v>
      </c>
      <c r="T35" s="62">
        <f t="shared" si="3"/>
        <v>0.80244872446242999</v>
      </c>
      <c r="U35" s="53">
        <f>'version consolidée hors UE'!M38</f>
        <v>12737.06</v>
      </c>
      <c r="V35" s="53">
        <f>'version consolidée hors UE'!AM38*W35</f>
        <v>0</v>
      </c>
      <c r="W35" s="231">
        <f t="shared" si="4"/>
        <v>2.1279511609024051E-2</v>
      </c>
      <c r="X35" s="53">
        <f>'version consolidée hors UE'!T38+'version consolidée hors UE'!AJ38+'version consolidée hors UE'!AL38</f>
        <v>105509.19</v>
      </c>
      <c r="Y35" s="53">
        <f>'version consolidée hors UE'!AM38*Z35</f>
        <v>0</v>
      </c>
      <c r="Z35" s="231">
        <f t="shared" si="5"/>
        <v>0.17627176392854588</v>
      </c>
      <c r="AA35" s="53">
        <f t="shared" si="6"/>
        <v>598559.79</v>
      </c>
      <c r="AB35" s="53">
        <f t="shared" si="7"/>
        <v>0</v>
      </c>
      <c r="AC35" s="62">
        <f t="shared" si="8"/>
        <v>1</v>
      </c>
      <c r="AE35" s="62">
        <f t="shared" si="9"/>
        <v>2.2584204671851758E-2</v>
      </c>
      <c r="AF35" s="62">
        <f t="shared" si="10"/>
        <v>1.604050478763553E-3</v>
      </c>
      <c r="AG35" s="62">
        <f t="shared" si="1"/>
        <v>5.7853714849775907E-4</v>
      </c>
    </row>
    <row r="36" spans="2:33">
      <c r="B36" s="86" t="s">
        <v>65</v>
      </c>
      <c r="C36" s="138">
        <f>'version consolidée hors UE'!AO39</f>
        <v>17000.38</v>
      </c>
      <c r="D36" s="22">
        <f t="shared" si="2"/>
        <v>8.0349425345475136E-5</v>
      </c>
      <c r="E36" s="86">
        <f t="shared" ref="E36:E67" si="11">RANK(C36,$C$4:$C$189)</f>
        <v>82</v>
      </c>
      <c r="P36"/>
      <c r="Q36" s="86" t="s">
        <v>65</v>
      </c>
      <c r="R36" s="53">
        <f>'version consolidée hors UE'!F39</f>
        <v>15911.420000000002</v>
      </c>
      <c r="S36" s="53">
        <f>'version consolidée hors UE'!AM39*T36</f>
        <v>0</v>
      </c>
      <c r="T36" s="62">
        <f t="shared" si="3"/>
        <v>0.93594496123027848</v>
      </c>
      <c r="U36" s="53">
        <f>'version consolidée hors UE'!M39</f>
        <v>0</v>
      </c>
      <c r="V36" s="53">
        <f>'version consolidée hors UE'!AM39*W36</f>
        <v>0</v>
      </c>
      <c r="W36" s="231">
        <f t="shared" si="4"/>
        <v>0</v>
      </c>
      <c r="X36" s="53">
        <f>'version consolidée hors UE'!T39+'version consolidée hors UE'!AJ39+'version consolidée hors UE'!AL39</f>
        <v>1088.96</v>
      </c>
      <c r="Y36" s="53">
        <f>'version consolidée hors UE'!AM39*Z36</f>
        <v>0</v>
      </c>
      <c r="Z36" s="231">
        <f t="shared" si="5"/>
        <v>6.4055038769721614E-2</v>
      </c>
      <c r="AA36" s="53">
        <f t="shared" si="6"/>
        <v>17000.38</v>
      </c>
      <c r="AB36" s="53">
        <f t="shared" si="7"/>
        <v>0</v>
      </c>
      <c r="AC36" s="62">
        <f t="shared" si="8"/>
        <v>1</v>
      </c>
      <c r="AE36" s="62">
        <f t="shared" si="9"/>
        <v>7.481503975503075E-4</v>
      </c>
      <c r="AF36" s="62">
        <f t="shared" si="10"/>
        <v>0</v>
      </c>
      <c r="AG36" s="62">
        <f t="shared" ref="AG36:AG68" si="12">X36/$X$190</f>
        <v>5.9710799905498251E-6</v>
      </c>
    </row>
    <row r="37" spans="2:33">
      <c r="B37" s="86" t="s">
        <v>66</v>
      </c>
      <c r="C37" s="138">
        <f>'version consolidée hors UE'!AO40</f>
        <v>298543.78000000003</v>
      </c>
      <c r="D37" s="22">
        <f t="shared" si="2"/>
        <v>1.4110167633585812E-3</v>
      </c>
      <c r="E37" s="86">
        <f t="shared" si="11"/>
        <v>26</v>
      </c>
      <c r="P37"/>
      <c r="Q37" s="86" t="s">
        <v>66</v>
      </c>
      <c r="R37" s="53">
        <f>'version consolidée hors UE'!F40</f>
        <v>120687.92000000001</v>
      </c>
      <c r="S37" s="53">
        <f>'version consolidée hors UE'!AM40*T37</f>
        <v>0</v>
      </c>
      <c r="T37" s="62">
        <f t="shared" si="3"/>
        <v>0.40425534908146471</v>
      </c>
      <c r="U37" s="53">
        <f>'version consolidée hors UE'!M40</f>
        <v>0</v>
      </c>
      <c r="V37" s="53">
        <f>'version consolidée hors UE'!AM40*W37</f>
        <v>0</v>
      </c>
      <c r="W37" s="231">
        <f t="shared" si="4"/>
        <v>0</v>
      </c>
      <c r="X37" s="53">
        <f>'version consolidée hors UE'!T40+'version consolidée hors UE'!AJ40+'version consolidée hors UE'!AL40</f>
        <v>177855.86000000002</v>
      </c>
      <c r="Y37" s="53">
        <f>'version consolidée hors UE'!AM40*Z37</f>
        <v>0</v>
      </c>
      <c r="Z37" s="231">
        <f t="shared" si="5"/>
        <v>0.59574465091853535</v>
      </c>
      <c r="AA37" s="53">
        <f t="shared" si="6"/>
        <v>298543.78000000003</v>
      </c>
      <c r="AB37" s="53">
        <f t="shared" ref="AB37:AB68" si="13">S37+V37+Y37</f>
        <v>0</v>
      </c>
      <c r="AC37" s="62">
        <f t="shared" si="8"/>
        <v>1</v>
      </c>
      <c r="AE37" s="62">
        <f t="shared" si="9"/>
        <v>5.6747113285627376E-3</v>
      </c>
      <c r="AF37" s="62">
        <f t="shared" si="10"/>
        <v>0</v>
      </c>
      <c r="AG37" s="62">
        <f t="shared" si="12"/>
        <v>9.752346889215684E-4</v>
      </c>
    </row>
    <row r="38" spans="2:33">
      <c r="B38" s="86" t="s">
        <v>67</v>
      </c>
      <c r="C38" s="138">
        <f>'version consolidée hors UE'!AO41</f>
        <v>444966.89</v>
      </c>
      <c r="D38" s="22">
        <f t="shared" si="2"/>
        <v>2.1030608674196252E-3</v>
      </c>
      <c r="E38" s="86">
        <f t="shared" si="11"/>
        <v>21</v>
      </c>
      <c r="P38"/>
      <c r="Q38" s="86" t="s">
        <v>67</v>
      </c>
      <c r="R38" s="53">
        <f>'version consolidée hors UE'!F41</f>
        <v>316973.02</v>
      </c>
      <c r="S38" s="53">
        <f>'version consolidée hors UE'!AM41*T38</f>
        <v>0</v>
      </c>
      <c r="T38" s="62">
        <f t="shared" si="3"/>
        <v>0.71235192353300714</v>
      </c>
      <c r="U38" s="53">
        <f>'version consolidée hors UE'!M41</f>
        <v>5757.94</v>
      </c>
      <c r="V38" s="53">
        <f>'version consolidée hors UE'!AM41*W38</f>
        <v>0</v>
      </c>
      <c r="W38" s="231">
        <f t="shared" si="4"/>
        <v>1.2940153816837921E-2</v>
      </c>
      <c r="X38" s="53">
        <f>'version consolidée hors UE'!T41+'version consolidée hors UE'!AJ41+'version consolidée hors UE'!AL41</f>
        <v>122235.93</v>
      </c>
      <c r="Y38" s="53">
        <f>'version consolidée hors UE'!AM41*Z38</f>
        <v>0</v>
      </c>
      <c r="Z38" s="231">
        <f t="shared" si="5"/>
        <v>0.27470792265015492</v>
      </c>
      <c r="AA38" s="53">
        <f t="shared" si="6"/>
        <v>444966.89</v>
      </c>
      <c r="AB38" s="53">
        <f t="shared" si="13"/>
        <v>0</v>
      </c>
      <c r="AC38" s="62">
        <f t="shared" si="8"/>
        <v>1</v>
      </c>
      <c r="AE38" s="62">
        <f t="shared" si="9"/>
        <v>1.4903980344037273E-2</v>
      </c>
      <c r="AF38" s="62">
        <f t="shared" si="10"/>
        <v>7.2513016455067435E-4</v>
      </c>
      <c r="AG38" s="62">
        <f t="shared" si="12"/>
        <v>6.7025466109797336E-4</v>
      </c>
    </row>
    <row r="39" spans="2:33">
      <c r="B39" s="86" t="s">
        <v>68</v>
      </c>
      <c r="C39" s="138">
        <f>'version consolidée hors UE'!AO42</f>
        <v>203895.34999999998</v>
      </c>
      <c r="D39" s="22">
        <f t="shared" si="2"/>
        <v>9.6367694152216135E-4</v>
      </c>
      <c r="E39" s="86">
        <f t="shared" si="11"/>
        <v>35</v>
      </c>
      <c r="P39"/>
      <c r="Q39" s="86" t="s">
        <v>68</v>
      </c>
      <c r="R39" s="53">
        <f>'version consolidée hors UE'!F42</f>
        <v>65248.439999999995</v>
      </c>
      <c r="S39" s="53">
        <f>'version consolidée hors UE'!AM42*T39</f>
        <v>0</v>
      </c>
      <c r="T39" s="62">
        <f t="shared" si="3"/>
        <v>0.32000945583114082</v>
      </c>
      <c r="U39" s="53">
        <f>'version consolidée hors UE'!M42</f>
        <v>0</v>
      </c>
      <c r="V39" s="53">
        <f>'version consolidée hors UE'!AM42*W39</f>
        <v>0</v>
      </c>
      <c r="W39" s="231">
        <f t="shared" si="4"/>
        <v>0</v>
      </c>
      <c r="X39" s="53">
        <f>'version consolidée hors UE'!T42+'version consolidée hors UE'!AJ42+'version consolidée hors UE'!AL42</f>
        <v>138646.90999999997</v>
      </c>
      <c r="Y39" s="53">
        <f>'version consolidée hors UE'!AM42*Z39</f>
        <v>0</v>
      </c>
      <c r="Z39" s="231">
        <f t="shared" si="5"/>
        <v>0.67999054416885918</v>
      </c>
      <c r="AA39" s="53">
        <f t="shared" si="6"/>
        <v>203895.34999999998</v>
      </c>
      <c r="AB39" s="53">
        <f t="shared" si="13"/>
        <v>0</v>
      </c>
      <c r="AC39" s="62">
        <f t="shared" si="8"/>
        <v>1</v>
      </c>
      <c r="AE39" s="62">
        <f t="shared" si="9"/>
        <v>3.0679629049787747E-3</v>
      </c>
      <c r="AF39" s="62">
        <f t="shared" si="10"/>
        <v>0</v>
      </c>
      <c r="AG39" s="62">
        <f t="shared" si="12"/>
        <v>7.6024077105914104E-4</v>
      </c>
    </row>
    <row r="40" spans="2:33">
      <c r="B40" s="86" t="s">
        <v>69</v>
      </c>
      <c r="C40" s="138">
        <f>'version consolidée hors UE'!AO43</f>
        <v>33434.99</v>
      </c>
      <c r="D40" s="22">
        <f t="shared" si="2"/>
        <v>1.5802483432321557E-4</v>
      </c>
      <c r="E40" s="86">
        <f t="shared" si="11"/>
        <v>64</v>
      </c>
      <c r="P40"/>
      <c r="Q40" s="86" t="s">
        <v>69</v>
      </c>
      <c r="R40" s="53">
        <f>'version consolidée hors UE'!F43</f>
        <v>12072.28</v>
      </c>
      <c r="S40" s="53">
        <f>'version consolidée hors UE'!AM43*T40</f>
        <v>0</v>
      </c>
      <c r="T40" s="62">
        <f t="shared" si="3"/>
        <v>0.36106725319792232</v>
      </c>
      <c r="U40" s="53">
        <f>'version consolidée hors UE'!M43</f>
        <v>20189.97</v>
      </c>
      <c r="V40" s="53">
        <f>'version consolidée hors UE'!AM43*W40</f>
        <v>0</v>
      </c>
      <c r="W40" s="231">
        <f t="shared" si="4"/>
        <v>0.60385751573426527</v>
      </c>
      <c r="X40" s="53">
        <f>'version consolidée hors UE'!T43+'version consolidée hors UE'!AJ43+'version consolidée hors UE'!AL43</f>
        <v>1172.74</v>
      </c>
      <c r="Y40" s="53">
        <f>'version consolidée hors UE'!AM43*Z40</f>
        <v>0</v>
      </c>
      <c r="Z40" s="231">
        <f t="shared" si="5"/>
        <v>3.5075231067812497E-2</v>
      </c>
      <c r="AA40" s="53">
        <f t="shared" si="6"/>
        <v>33434.99</v>
      </c>
      <c r="AB40" s="53">
        <f t="shared" si="13"/>
        <v>0</v>
      </c>
      <c r="AC40" s="62">
        <f t="shared" si="8"/>
        <v>1</v>
      </c>
      <c r="AE40" s="62">
        <f t="shared" si="9"/>
        <v>5.6763513761428123E-4</v>
      </c>
      <c r="AF40" s="62">
        <f t="shared" si="10"/>
        <v>2.5426378649956722E-3</v>
      </c>
      <c r="AG40" s="62">
        <f t="shared" si="12"/>
        <v>6.4304697584093095E-6</v>
      </c>
    </row>
    <row r="41" spans="2:33">
      <c r="B41" s="86" t="s">
        <v>70</v>
      </c>
      <c r="C41" s="138">
        <f>'version consolidée hors UE'!AO44</f>
        <v>45906.49</v>
      </c>
      <c r="D41" s="22">
        <f t="shared" si="2"/>
        <v>2.1696927310611884E-4</v>
      </c>
      <c r="E41" s="86">
        <f t="shared" si="11"/>
        <v>59</v>
      </c>
      <c r="P41"/>
      <c r="Q41" s="86" t="s">
        <v>70</v>
      </c>
      <c r="R41" s="53">
        <f>'version consolidée hors UE'!F44</f>
        <v>14408.53</v>
      </c>
      <c r="S41" s="53">
        <f>'version consolidée hors UE'!AM44*T41</f>
        <v>0</v>
      </c>
      <c r="T41" s="62">
        <f t="shared" si="3"/>
        <v>0.3138669499672051</v>
      </c>
      <c r="U41" s="53">
        <f>'version consolidée hors UE'!M44</f>
        <v>17779.5</v>
      </c>
      <c r="V41" s="53">
        <f>'version consolidée hors UE'!AM44*W41</f>
        <v>0</v>
      </c>
      <c r="W41" s="231">
        <f t="shared" si="4"/>
        <v>0.38729817940774824</v>
      </c>
      <c r="X41" s="53">
        <f>'version consolidée hors UE'!T44+'version consolidée hors UE'!AJ44+'version consolidée hors UE'!AL44</f>
        <v>13718.460000000001</v>
      </c>
      <c r="Y41" s="53">
        <f>'version consolidée hors UE'!AM44*Z41</f>
        <v>0</v>
      </c>
      <c r="Z41" s="231">
        <f t="shared" si="5"/>
        <v>0.29883487062504671</v>
      </c>
      <c r="AA41" s="53">
        <f t="shared" si="6"/>
        <v>45906.49</v>
      </c>
      <c r="AB41" s="53">
        <f t="shared" si="13"/>
        <v>0</v>
      </c>
      <c r="AC41" s="62">
        <f t="shared" si="8"/>
        <v>1</v>
      </c>
      <c r="AE41" s="62">
        <f t="shared" si="9"/>
        <v>6.7748494148325746E-4</v>
      </c>
      <c r="AF41" s="62">
        <f t="shared" si="10"/>
        <v>2.2390736549232392E-3</v>
      </c>
      <c r="AG41" s="62">
        <f t="shared" si="12"/>
        <v>7.5222250594290103E-5</v>
      </c>
    </row>
    <row r="42" spans="2:33">
      <c r="B42" s="86" t="s">
        <v>155</v>
      </c>
      <c r="C42" s="138">
        <f>'version consolidée hors UE'!AO45</f>
        <v>65656.01999999999</v>
      </c>
      <c r="D42" s="22">
        <f t="shared" si="2"/>
        <v>3.1031209169859856E-4</v>
      </c>
      <c r="E42" s="86">
        <f t="shared" si="11"/>
        <v>54</v>
      </c>
      <c r="P42"/>
      <c r="Q42" s="86" t="s">
        <v>155</v>
      </c>
      <c r="R42" s="53">
        <f>'version consolidée hors UE'!F45</f>
        <v>40948.219999999994</v>
      </c>
      <c r="S42" s="53">
        <f>'version consolidée hors UE'!AM45*T42</f>
        <v>0</v>
      </c>
      <c r="T42" s="62">
        <f t="shared" si="3"/>
        <v>0.62367807247530382</v>
      </c>
      <c r="U42" s="53">
        <f>'version consolidée hors UE'!M45</f>
        <v>0</v>
      </c>
      <c r="V42" s="53">
        <f>'version consolidée hors UE'!AM45*W42</f>
        <v>0</v>
      </c>
      <c r="W42" s="231">
        <f t="shared" si="4"/>
        <v>0</v>
      </c>
      <c r="X42" s="53">
        <f>'version consolidée hors UE'!T45+'version consolidée hors UE'!AJ45+'version consolidée hors UE'!AL45</f>
        <v>24707.8</v>
      </c>
      <c r="Y42" s="53">
        <f>'version consolidée hors UE'!AM45*Z42</f>
        <v>0</v>
      </c>
      <c r="Z42" s="231">
        <f>IFERROR(X42/AA42,0)</f>
        <v>0.37632192752469618</v>
      </c>
      <c r="AA42" s="53">
        <f t="shared" si="6"/>
        <v>65656.01999999999</v>
      </c>
      <c r="AB42" s="53">
        <f t="shared" si="13"/>
        <v>0</v>
      </c>
      <c r="AC42" s="62">
        <f t="shared" si="8"/>
        <v>1</v>
      </c>
      <c r="AE42" s="62">
        <f t="shared" si="9"/>
        <v>1.9253735412664266E-3</v>
      </c>
      <c r="AF42" s="62">
        <f t="shared" si="10"/>
        <v>0</v>
      </c>
      <c r="AG42" s="62">
        <f t="shared" si="12"/>
        <v>1.3547995352492924E-4</v>
      </c>
    </row>
    <row r="43" spans="2:33">
      <c r="B43" s="86" t="s">
        <v>71</v>
      </c>
      <c r="C43" s="138">
        <f>'version consolidée hors UE'!AO46</f>
        <v>139725.79</v>
      </c>
      <c r="D43" s="22">
        <f t="shared" si="2"/>
        <v>6.6039035200639849E-4</v>
      </c>
      <c r="E43" s="86">
        <f t="shared" si="11"/>
        <v>40</v>
      </c>
      <c r="P43"/>
      <c r="Q43" s="86" t="s">
        <v>71</v>
      </c>
      <c r="R43" s="53">
        <f>'version consolidée hors UE'!F46</f>
        <v>83638.25</v>
      </c>
      <c r="S43" s="53">
        <f>'version consolidée hors UE'!AM46*T43</f>
        <v>0</v>
      </c>
      <c r="T43" s="62">
        <f t="shared" si="3"/>
        <v>0.59858849250378188</v>
      </c>
      <c r="U43" s="53">
        <f>'version consolidée hors UE'!M46</f>
        <v>0</v>
      </c>
      <c r="V43" s="53">
        <f>'version consolidée hors UE'!AM46*W43</f>
        <v>0</v>
      </c>
      <c r="W43" s="231">
        <f t="shared" si="4"/>
        <v>0</v>
      </c>
      <c r="X43" s="53">
        <f>'version consolidée hors UE'!T46+'version consolidée hors UE'!AJ46+'version consolidée hors UE'!AL46</f>
        <v>56087.54</v>
      </c>
      <c r="Y43" s="53">
        <f>'version consolidée hors UE'!AM46*Z43</f>
        <v>0</v>
      </c>
      <c r="Z43" s="231">
        <f t="shared" si="5"/>
        <v>0.40141150749621812</v>
      </c>
      <c r="AA43" s="53">
        <f t="shared" si="6"/>
        <v>139725.79</v>
      </c>
      <c r="AB43" s="53">
        <f t="shared" si="13"/>
        <v>0</v>
      </c>
      <c r="AC43" s="62">
        <f t="shared" si="8"/>
        <v>1</v>
      </c>
      <c r="AE43" s="62">
        <f t="shared" si="9"/>
        <v>3.9326464883657148E-3</v>
      </c>
      <c r="AF43" s="62">
        <f t="shared" si="10"/>
        <v>0</v>
      </c>
      <c r="AG43" s="62">
        <f t="shared" si="12"/>
        <v>3.0754406756277816E-4</v>
      </c>
    </row>
    <row r="44" spans="2:33">
      <c r="B44" s="86" t="s">
        <v>72</v>
      </c>
      <c r="C44" s="138">
        <f>'version consolidée hors UE'!AO47</f>
        <v>166362.70000000001</v>
      </c>
      <c r="D44" s="22">
        <f t="shared" si="2"/>
        <v>7.8628520914954118E-4</v>
      </c>
      <c r="E44" s="86">
        <f t="shared" si="11"/>
        <v>36</v>
      </c>
      <c r="P44"/>
      <c r="Q44" s="86" t="s">
        <v>72</v>
      </c>
      <c r="R44" s="53">
        <f>'version consolidée hors UE'!F47</f>
        <v>63979.44999999999</v>
      </c>
      <c r="S44" s="53">
        <f>'version consolidée hors UE'!AM47*T44</f>
        <v>0</v>
      </c>
      <c r="T44" s="62">
        <f t="shared" si="3"/>
        <v>0.38457809352697442</v>
      </c>
      <c r="U44" s="53">
        <f>'version consolidée hors UE'!M47</f>
        <v>27034.9</v>
      </c>
      <c r="V44" s="53">
        <f>'version consolidée hors UE'!AM47*W44</f>
        <v>0</v>
      </c>
      <c r="W44" s="231">
        <f t="shared" si="4"/>
        <v>0.16250577803798569</v>
      </c>
      <c r="X44" s="53">
        <f>'version consolidée hors UE'!T47+'version consolidée hors UE'!AJ47+'version consolidée hors UE'!AL47</f>
        <v>75348.350000000006</v>
      </c>
      <c r="Y44" s="53">
        <f>'version consolidée hors UE'!AM47*Z44</f>
        <v>0</v>
      </c>
      <c r="Z44" s="231">
        <f t="shared" si="5"/>
        <v>0.45291612843503981</v>
      </c>
      <c r="AA44" s="53">
        <f t="shared" si="6"/>
        <v>166362.70000000001</v>
      </c>
      <c r="AB44" s="53">
        <f t="shared" si="13"/>
        <v>0</v>
      </c>
      <c r="AC44" s="62">
        <f t="shared" si="8"/>
        <v>0.99999999999999989</v>
      </c>
      <c r="AE44" s="62">
        <f t="shared" si="9"/>
        <v>3.0082953597196233E-3</v>
      </c>
      <c r="AF44" s="62">
        <f t="shared" si="10"/>
        <v>3.4046588685555995E-3</v>
      </c>
      <c r="AG44" s="62">
        <f t="shared" si="12"/>
        <v>4.1315661273687271E-4</v>
      </c>
    </row>
    <row r="45" spans="2:33" ht="17.25">
      <c r="B45" s="132" t="s">
        <v>347</v>
      </c>
      <c r="C45" s="138">
        <f>'version consolidée hors UE'!AO48</f>
        <v>966337.89649284282</v>
      </c>
      <c r="D45" s="22">
        <f t="shared" si="2"/>
        <v>4.5672328896621808E-3</v>
      </c>
      <c r="E45" s="86">
        <f t="shared" si="11"/>
        <v>13</v>
      </c>
      <c r="P45"/>
      <c r="Q45" s="132" t="s">
        <v>347</v>
      </c>
      <c r="R45" s="53">
        <f>'version consolidée hors UE'!F48</f>
        <v>0</v>
      </c>
      <c r="S45" s="53">
        <f>'version consolidée hors UE'!AM48*T45</f>
        <v>0</v>
      </c>
      <c r="T45" s="62">
        <f t="shared" si="3"/>
        <v>0</v>
      </c>
      <c r="U45" s="53">
        <f>'version consolidée hors UE'!M48</f>
        <v>0</v>
      </c>
      <c r="V45" s="53">
        <f>'version consolidée hors UE'!AM48*W45</f>
        <v>0</v>
      </c>
      <c r="W45" s="231">
        <f t="shared" si="4"/>
        <v>0</v>
      </c>
      <c r="X45" s="53">
        <f>'version consolidée hors UE'!T48+'version consolidée hors UE'!AJ48+'version consolidée hors UE'!AL48</f>
        <v>966337.89649284282</v>
      </c>
      <c r="Y45" s="53">
        <f>'version consolidée hors UE'!AM48*Z45</f>
        <v>75748.135198830714</v>
      </c>
      <c r="Z45" s="231">
        <f t="shared" si="5"/>
        <v>1</v>
      </c>
      <c r="AA45" s="53">
        <f t="shared" si="6"/>
        <v>966337.89649284282</v>
      </c>
      <c r="AB45" s="53">
        <f t="shared" si="13"/>
        <v>75748.135198830714</v>
      </c>
      <c r="AC45" s="62">
        <f t="shared" si="8"/>
        <v>1</v>
      </c>
      <c r="AE45" s="62">
        <f t="shared" si="9"/>
        <v>0</v>
      </c>
      <c r="AF45" s="62">
        <f t="shared" si="10"/>
        <v>0</v>
      </c>
      <c r="AG45" s="62">
        <f t="shared" si="12"/>
        <v>5.2987078293586743E-3</v>
      </c>
    </row>
    <row r="46" spans="2:33">
      <c r="B46" s="86" t="s">
        <v>73</v>
      </c>
      <c r="C46" s="138">
        <f>'version consolidée hors UE'!AO49</f>
        <v>149017.65999999997</v>
      </c>
      <c r="D46" s="22">
        <f t="shared" si="2"/>
        <v>7.0430680651417167E-4</v>
      </c>
      <c r="E46" s="86">
        <f t="shared" si="11"/>
        <v>39</v>
      </c>
      <c r="P46"/>
      <c r="Q46" s="86" t="s">
        <v>73</v>
      </c>
      <c r="R46" s="53">
        <f>'version consolidée hors UE'!F49</f>
        <v>145249.25999999998</v>
      </c>
      <c r="S46" s="53">
        <f>'version consolidée hors UE'!AM49*T46</f>
        <v>0</v>
      </c>
      <c r="T46" s="62">
        <f t="shared" si="3"/>
        <v>0.97471172208716739</v>
      </c>
      <c r="U46" s="53">
        <f>'version consolidée hors UE'!M49</f>
        <v>32.24</v>
      </c>
      <c r="V46" s="53">
        <f>'version consolidée hors UE'!AM49*W46</f>
        <v>0</v>
      </c>
      <c r="W46" s="231">
        <f t="shared" si="4"/>
        <v>2.1635019634585597E-4</v>
      </c>
      <c r="X46" s="53">
        <f>'version consolidée hors UE'!T49+'version consolidée hors UE'!AJ49+'version consolidée hors UE'!AL49</f>
        <v>3736.16</v>
      </c>
      <c r="Y46" s="53">
        <f>'version consolidée hors UE'!AM49*Z46</f>
        <v>0</v>
      </c>
      <c r="Z46" s="231">
        <f t="shared" si="5"/>
        <v>2.507192771648676E-2</v>
      </c>
      <c r="AA46" s="53">
        <f t="shared" si="6"/>
        <v>149017.65999999997</v>
      </c>
      <c r="AB46" s="53">
        <f t="shared" si="13"/>
        <v>0</v>
      </c>
      <c r="AC46" s="62">
        <f t="shared" si="8"/>
        <v>1</v>
      </c>
      <c r="AE46" s="62">
        <f t="shared" si="9"/>
        <v>6.8295784796635339E-3</v>
      </c>
      <c r="AF46" s="62">
        <f t="shared" si="10"/>
        <v>4.060166744549916E-6</v>
      </c>
      <c r="AG46" s="62">
        <f t="shared" si="12"/>
        <v>2.048643679978386E-5</v>
      </c>
    </row>
    <row r="47" spans="2:33">
      <c r="B47" s="86" t="s">
        <v>74</v>
      </c>
      <c r="C47" s="138">
        <f>'version consolidée hors UE'!AO50</f>
        <v>24417.94</v>
      </c>
      <c r="D47" s="22">
        <f t="shared" si="2"/>
        <v>1.154072701386846E-4</v>
      </c>
      <c r="E47" s="86">
        <f t="shared" si="11"/>
        <v>72</v>
      </c>
      <c r="P47"/>
      <c r="Q47" s="86" t="s">
        <v>74</v>
      </c>
      <c r="R47" s="53">
        <f>'version consolidée hors UE'!F50</f>
        <v>2232.4799999999996</v>
      </c>
      <c r="S47" s="53">
        <f>'version consolidée hors UE'!AM50*T47</f>
        <v>0</v>
      </c>
      <c r="T47" s="62">
        <f t="shared" si="3"/>
        <v>9.1427860007846681E-2</v>
      </c>
      <c r="U47" s="53">
        <f>'version consolidée hors UE'!M50</f>
        <v>0</v>
      </c>
      <c r="V47" s="53">
        <f>'version consolidée hors UE'!AM50*W47</f>
        <v>0</v>
      </c>
      <c r="W47" s="231">
        <f t="shared" si="4"/>
        <v>0</v>
      </c>
      <c r="X47" s="53">
        <f>'version consolidée hors UE'!T50+'version consolidée hors UE'!AJ50+'version consolidée hors UE'!AL50</f>
        <v>22185.46</v>
      </c>
      <c r="Y47" s="53">
        <f>'version consolidée hors UE'!AM50*Z47</f>
        <v>0</v>
      </c>
      <c r="Z47" s="231">
        <f t="shared" si="5"/>
        <v>0.90857213999215336</v>
      </c>
      <c r="AA47" s="53">
        <f t="shared" si="6"/>
        <v>24417.94</v>
      </c>
      <c r="AB47" s="53">
        <f t="shared" si="13"/>
        <v>0</v>
      </c>
      <c r="AC47" s="62">
        <f t="shared" si="8"/>
        <v>1</v>
      </c>
      <c r="AE47" s="62">
        <f t="shared" si="9"/>
        <v>1.0497056827882804E-4</v>
      </c>
      <c r="AF47" s="62">
        <f t="shared" si="10"/>
        <v>0</v>
      </c>
      <c r="AG47" s="62">
        <f t="shared" si="12"/>
        <v>1.2164923990517881E-4</v>
      </c>
    </row>
    <row r="48" spans="2:33">
      <c r="B48" s="132" t="s">
        <v>300</v>
      </c>
      <c r="C48" s="138">
        <f>'version consolidée hors UE'!AO51</f>
        <v>7720.28</v>
      </c>
      <c r="D48" s="22">
        <f t="shared" si="2"/>
        <v>3.6488599755191637E-5</v>
      </c>
      <c r="E48" s="86">
        <f t="shared" si="11"/>
        <v>107</v>
      </c>
      <c r="P48"/>
      <c r="Q48" s="132" t="s">
        <v>300</v>
      </c>
      <c r="R48" s="53">
        <f>'version consolidée hors UE'!F51</f>
        <v>7715.91</v>
      </c>
      <c r="S48" s="53">
        <f>'version consolidée hors UE'!AM51*T48</f>
        <v>0</v>
      </c>
      <c r="T48" s="62">
        <f t="shared" si="3"/>
        <v>0.99943395835384208</v>
      </c>
      <c r="U48" s="53">
        <f>'version consolidée hors UE'!M51</f>
        <v>0</v>
      </c>
      <c r="V48" s="53">
        <f>'version consolidée hors UE'!AM51*W48</f>
        <v>0</v>
      </c>
      <c r="W48" s="231">
        <f t="shared" si="4"/>
        <v>0</v>
      </c>
      <c r="X48" s="53">
        <f>'version consolidée hors UE'!T51+'version consolidée hors UE'!AJ51+'version consolidée hors UE'!AL51</f>
        <v>4.37</v>
      </c>
      <c r="Y48" s="53">
        <f>'version consolidée hors UE'!AM51*Z48</f>
        <v>0</v>
      </c>
      <c r="Z48" s="231">
        <f t="shared" si="5"/>
        <v>5.6604164615791145E-4</v>
      </c>
      <c r="AA48" s="53">
        <f t="shared" si="6"/>
        <v>7720.28</v>
      </c>
      <c r="AB48" s="53">
        <f t="shared" si="13"/>
        <v>0</v>
      </c>
      <c r="AC48" s="62">
        <f t="shared" si="8"/>
        <v>1</v>
      </c>
      <c r="AE48" s="62">
        <f t="shared" si="9"/>
        <v>3.6279987166213903E-4</v>
      </c>
      <c r="AF48" s="62">
        <f t="shared" si="10"/>
        <v>0</v>
      </c>
      <c r="AG48" s="62">
        <f t="shared" si="12"/>
        <v>2.3961963303245975E-8</v>
      </c>
    </row>
    <row r="49" spans="2:33">
      <c r="B49" s="86" t="s">
        <v>75</v>
      </c>
      <c r="C49" s="138">
        <f>'version consolidée hors UE'!AO52</f>
        <v>103335.82999999999</v>
      </c>
      <c r="D49" s="22">
        <f t="shared" si="2"/>
        <v>4.8839935096143194E-4</v>
      </c>
      <c r="E49" s="86">
        <f t="shared" si="11"/>
        <v>48</v>
      </c>
      <c r="P49"/>
      <c r="Q49" s="86" t="s">
        <v>75</v>
      </c>
      <c r="R49" s="53">
        <f>'version consolidée hors UE'!F52</f>
        <v>77732.549999999988</v>
      </c>
      <c r="S49" s="53">
        <f>'version consolidée hors UE'!AM52*T49</f>
        <v>0</v>
      </c>
      <c r="T49" s="62">
        <f t="shared" si="3"/>
        <v>0.75223230896776072</v>
      </c>
      <c r="U49" s="53">
        <f>'version consolidée hors UE'!M52</f>
        <v>0</v>
      </c>
      <c r="V49" s="53">
        <f>'version consolidée hors UE'!AM52*W49</f>
        <v>0</v>
      </c>
      <c r="W49" s="231">
        <f t="shared" si="4"/>
        <v>0</v>
      </c>
      <c r="X49" s="53">
        <f>'version consolidée hors UE'!T52+'version consolidée hors UE'!AJ52+'version consolidée hors UE'!AL52</f>
        <v>25603.279999999999</v>
      </c>
      <c r="Y49" s="53">
        <f>'version consolidée hors UE'!AM52*Z49</f>
        <v>0</v>
      </c>
      <c r="Z49" s="231">
        <f t="shared" si="5"/>
        <v>0.24776769103223928</v>
      </c>
      <c r="AA49" s="53">
        <f t="shared" si="6"/>
        <v>103335.82999999999</v>
      </c>
      <c r="AB49" s="53">
        <f t="shared" si="13"/>
        <v>0</v>
      </c>
      <c r="AC49" s="62">
        <f t="shared" si="8"/>
        <v>1</v>
      </c>
      <c r="AE49" s="62">
        <f t="shared" si="9"/>
        <v>3.6549621708872708E-3</v>
      </c>
      <c r="AF49" s="62">
        <f t="shared" si="10"/>
        <v>0</v>
      </c>
      <c r="AG49" s="62">
        <f t="shared" si="12"/>
        <v>1.4039012718597977E-4</v>
      </c>
    </row>
    <row r="50" spans="2:33">
      <c r="B50" s="86" t="s">
        <v>76</v>
      </c>
      <c r="C50" s="138">
        <f>'version consolidée hors UE'!AO53</f>
        <v>20388.830000000002</v>
      </c>
      <c r="D50" s="22">
        <f t="shared" si="2"/>
        <v>9.6364362088764124E-5</v>
      </c>
      <c r="E50" s="86">
        <f t="shared" si="11"/>
        <v>75</v>
      </c>
      <c r="P50"/>
      <c r="Q50" s="86" t="s">
        <v>76</v>
      </c>
      <c r="R50" s="53">
        <f>'version consolidée hors UE'!F53</f>
        <v>680.63</v>
      </c>
      <c r="S50" s="53">
        <f>'version consolidée hors UE'!AM53*T50</f>
        <v>0</v>
      </c>
      <c r="T50" s="62">
        <f t="shared" si="3"/>
        <v>3.3382494238266731E-2</v>
      </c>
      <c r="U50" s="53">
        <f>'version consolidée hors UE'!M53</f>
        <v>2744.91</v>
      </c>
      <c r="V50" s="53">
        <f>'version consolidée hors UE'!AM53*W50</f>
        <v>0</v>
      </c>
      <c r="W50" s="231">
        <f t="shared" si="4"/>
        <v>0.1346281272638008</v>
      </c>
      <c r="X50" s="53">
        <f>'version consolidée hors UE'!T53+'version consolidée hors UE'!AJ53+'version consolidée hors UE'!AL53</f>
        <v>16963.29</v>
      </c>
      <c r="Y50" s="53">
        <f>'version consolidée hors UE'!AM53*Z50</f>
        <v>0</v>
      </c>
      <c r="Z50" s="231">
        <f t="shared" si="5"/>
        <v>0.83198937849793242</v>
      </c>
      <c r="AA50" s="53">
        <f t="shared" si="6"/>
        <v>20388.830000000002</v>
      </c>
      <c r="AB50" s="53">
        <f t="shared" si="13"/>
        <v>0</v>
      </c>
      <c r="AC50" s="62">
        <f t="shared" si="8"/>
        <v>1</v>
      </c>
      <c r="AE50" s="62">
        <f t="shared" si="9"/>
        <v>3.200302707644357E-5</v>
      </c>
      <c r="AF50" s="62">
        <f t="shared" si="10"/>
        <v>3.4568214326248476E-4</v>
      </c>
      <c r="AG50" s="62">
        <f t="shared" si="12"/>
        <v>9.3014584092063942E-5</v>
      </c>
    </row>
    <row r="51" spans="2:33">
      <c r="B51" s="86" t="s">
        <v>77</v>
      </c>
      <c r="C51" s="138">
        <f>'version consolidée hors UE'!AO54</f>
        <v>207271.90999999997</v>
      </c>
      <c r="D51" s="22">
        <f t="shared" si="2"/>
        <v>9.7963568218822406E-4</v>
      </c>
      <c r="E51" s="86">
        <f t="shared" si="11"/>
        <v>34</v>
      </c>
      <c r="P51"/>
      <c r="Q51" s="86" t="s">
        <v>77</v>
      </c>
      <c r="R51" s="53">
        <f>'version consolidée hors UE'!F54</f>
        <v>113577.45999999999</v>
      </c>
      <c r="S51" s="53">
        <f>'version consolidée hors UE'!AM54*T51</f>
        <v>0</v>
      </c>
      <c r="T51" s="62">
        <f t="shared" si="3"/>
        <v>0.54796359043538512</v>
      </c>
      <c r="U51" s="53">
        <f>'version consolidée hors UE'!M54</f>
        <v>3528.9300000000003</v>
      </c>
      <c r="V51" s="53">
        <f>'version consolidée hors UE'!AM54*W51</f>
        <v>0</v>
      </c>
      <c r="W51" s="231">
        <f t="shared" si="4"/>
        <v>1.7025606605352364E-2</v>
      </c>
      <c r="X51" s="53">
        <f>'version consolidée hors UE'!T54+'version consolidée hors UE'!AJ54+'version consolidée hors UE'!AL54</f>
        <v>90165.51999999999</v>
      </c>
      <c r="Y51" s="53">
        <f>'version consolidée hors UE'!AM54*Z51</f>
        <v>0</v>
      </c>
      <c r="Z51" s="231">
        <f t="shared" si="5"/>
        <v>0.43501080295926253</v>
      </c>
      <c r="AA51" s="53">
        <f t="shared" si="6"/>
        <v>207271.90999999997</v>
      </c>
      <c r="AB51" s="53">
        <f t="shared" si="13"/>
        <v>0</v>
      </c>
      <c r="AC51" s="62">
        <f t="shared" si="8"/>
        <v>1</v>
      </c>
      <c r="AE51" s="62">
        <f t="shared" si="9"/>
        <v>5.340379541973886E-3</v>
      </c>
      <c r="AF51" s="62">
        <f t="shared" si="10"/>
        <v>4.4441824534257246E-4</v>
      </c>
      <c r="AG51" s="62">
        <f t="shared" si="12"/>
        <v>4.9440340536798411E-4</v>
      </c>
    </row>
    <row r="52" spans="2:33">
      <c r="B52" s="86" t="s">
        <v>78</v>
      </c>
      <c r="C52" s="138">
        <f>'version consolidée hors UE'!AO55</f>
        <v>86177.17</v>
      </c>
      <c r="D52" s="22">
        <f t="shared" si="2"/>
        <v>4.0730184192349343E-4</v>
      </c>
      <c r="E52" s="86">
        <f t="shared" si="11"/>
        <v>50</v>
      </c>
      <c r="P52"/>
      <c r="Q52" s="86" t="s">
        <v>78</v>
      </c>
      <c r="R52" s="53">
        <f>'version consolidée hors UE'!F55</f>
        <v>44313.16</v>
      </c>
      <c r="S52" s="53">
        <f>'version consolidée hors UE'!AM55*T52</f>
        <v>0</v>
      </c>
      <c r="T52" s="62">
        <f t="shared" si="3"/>
        <v>0.5142099699955337</v>
      </c>
      <c r="U52" s="53">
        <f>'version consolidée hors UE'!M55</f>
        <v>0</v>
      </c>
      <c r="V52" s="53">
        <f>'version consolidée hors UE'!AM55*W52</f>
        <v>0</v>
      </c>
      <c r="W52" s="231">
        <f t="shared" si="4"/>
        <v>0</v>
      </c>
      <c r="X52" s="53">
        <f>'version consolidée hors UE'!T55+'version consolidée hors UE'!AJ55+'version consolidée hors UE'!AL55</f>
        <v>41864.009999999995</v>
      </c>
      <c r="Y52" s="53">
        <f>'version consolidée hors UE'!AM55*Z52</f>
        <v>0</v>
      </c>
      <c r="Z52" s="231">
        <f t="shared" si="5"/>
        <v>0.48579003000446636</v>
      </c>
      <c r="AA52" s="53">
        <f t="shared" si="6"/>
        <v>86177.17</v>
      </c>
      <c r="AB52" s="53">
        <f t="shared" si="13"/>
        <v>0</v>
      </c>
      <c r="AC52" s="62">
        <f t="shared" si="8"/>
        <v>1</v>
      </c>
      <c r="AE52" s="62">
        <f t="shared" si="9"/>
        <v>2.083592053425174E-3</v>
      </c>
      <c r="AF52" s="62">
        <f t="shared" si="10"/>
        <v>0</v>
      </c>
      <c r="AG52" s="62">
        <f t="shared" si="12"/>
        <v>2.2955237330588612E-4</v>
      </c>
    </row>
    <row r="53" spans="2:33">
      <c r="B53" s="86" t="s">
        <v>201</v>
      </c>
      <c r="C53" s="138">
        <f>'version consolidée hors UE'!AO56</f>
        <v>0</v>
      </c>
      <c r="D53" s="22">
        <f t="shared" si="2"/>
        <v>0</v>
      </c>
      <c r="E53" s="86">
        <f t="shared" si="11"/>
        <v>168</v>
      </c>
      <c r="P53"/>
      <c r="Q53" s="86" t="s">
        <v>201</v>
      </c>
      <c r="R53" s="53">
        <f>'version consolidée hors UE'!F56</f>
        <v>0</v>
      </c>
      <c r="S53" s="53">
        <f>'version consolidée hors UE'!AM56*T53</f>
        <v>0</v>
      </c>
      <c r="T53" s="62">
        <f t="shared" si="3"/>
        <v>0</v>
      </c>
      <c r="U53" s="53">
        <f>'version consolidée hors UE'!M56</f>
        <v>0</v>
      </c>
      <c r="V53" s="53">
        <f>'version consolidée hors UE'!AM56*W53</f>
        <v>0</v>
      </c>
      <c r="W53" s="231">
        <f t="shared" si="4"/>
        <v>0</v>
      </c>
      <c r="X53" s="53">
        <f>'version consolidée hors UE'!T56+'version consolidée hors UE'!AJ56+'version consolidée hors UE'!AL56</f>
        <v>0</v>
      </c>
      <c r="Y53" s="53">
        <f>'version consolidée hors UE'!AM56*Z53</f>
        <v>0</v>
      </c>
      <c r="Z53" s="231">
        <f t="shared" si="5"/>
        <v>0</v>
      </c>
      <c r="AA53" s="53">
        <f t="shared" si="6"/>
        <v>0</v>
      </c>
      <c r="AB53" s="53">
        <f t="shared" si="13"/>
        <v>0</v>
      </c>
      <c r="AC53" s="62">
        <f t="shared" si="8"/>
        <v>0</v>
      </c>
      <c r="AE53" s="62">
        <f t="shared" si="9"/>
        <v>0</v>
      </c>
      <c r="AF53" s="62">
        <f t="shared" si="10"/>
        <v>0</v>
      </c>
      <c r="AG53" s="62">
        <f t="shared" si="12"/>
        <v>0</v>
      </c>
    </row>
    <row r="54" spans="2:33">
      <c r="B54" s="86" t="s">
        <v>79</v>
      </c>
      <c r="C54" s="138">
        <f>'version consolidée hors UE'!AO57</f>
        <v>1573254.9699999997</v>
      </c>
      <c r="D54" s="22">
        <f t="shared" si="2"/>
        <v>7.4357239521359343E-3</v>
      </c>
      <c r="E54" s="86">
        <f t="shared" si="11"/>
        <v>10</v>
      </c>
      <c r="P54"/>
      <c r="Q54" s="86" t="s">
        <v>79</v>
      </c>
      <c r="R54" s="53">
        <f>'version consolidée hors UE'!F57</f>
        <v>1151738.46</v>
      </c>
      <c r="S54" s="53">
        <f>'version consolidée hors UE'!AM57*T54</f>
        <v>0</v>
      </c>
      <c r="T54" s="62">
        <f t="shared" si="3"/>
        <v>0.73207361931931492</v>
      </c>
      <c r="U54" s="53">
        <f>'version consolidée hors UE'!M57</f>
        <v>24753.889999999996</v>
      </c>
      <c r="V54" s="53">
        <f>'version consolidée hors UE'!AM57*W54</f>
        <v>0</v>
      </c>
      <c r="W54" s="231">
        <f t="shared" si="4"/>
        <v>1.5734188336935621E-2</v>
      </c>
      <c r="X54" s="53">
        <f>'version consolidée hors UE'!T57+'version consolidée hors UE'!AJ57+'version consolidée hors UE'!AL57</f>
        <v>396762.62</v>
      </c>
      <c r="Y54" s="53">
        <f>'version consolidée hors UE'!AM57*Z54</f>
        <v>0</v>
      </c>
      <c r="Z54" s="231">
        <f t="shared" si="5"/>
        <v>0.25219219234374962</v>
      </c>
      <c r="AA54" s="53">
        <f t="shared" si="6"/>
        <v>1573254.9699999997</v>
      </c>
      <c r="AB54" s="53">
        <f t="shared" si="13"/>
        <v>0</v>
      </c>
      <c r="AC54" s="62">
        <f t="shared" si="8"/>
        <v>1.0000000000000002</v>
      </c>
      <c r="AE54" s="62">
        <f t="shared" si="9"/>
        <v>5.4154411531024814E-2</v>
      </c>
      <c r="AF54" s="62">
        <f t="shared" si="10"/>
        <v>3.1173982933079001E-3</v>
      </c>
      <c r="AG54" s="62">
        <f t="shared" si="12"/>
        <v>2.1755632358214476E-3</v>
      </c>
    </row>
    <row r="55" spans="2:33">
      <c r="B55" s="86" t="s">
        <v>80</v>
      </c>
      <c r="C55" s="138">
        <f>'version consolidée hors UE'!AO58</f>
        <v>12055.59</v>
      </c>
      <c r="D55" s="22">
        <f t="shared" si="2"/>
        <v>5.6978710399453221E-5</v>
      </c>
      <c r="E55" s="86">
        <f t="shared" si="11"/>
        <v>94</v>
      </c>
      <c r="P55"/>
      <c r="Q55" s="86" t="s">
        <v>80</v>
      </c>
      <c r="R55" s="53">
        <f>'version consolidée hors UE'!F58</f>
        <v>6393.0400000000009</v>
      </c>
      <c r="S55" s="53">
        <f>'version consolidée hors UE'!AM58*T55</f>
        <v>0</v>
      </c>
      <c r="T55" s="62">
        <f t="shared" si="3"/>
        <v>0.53029673371440145</v>
      </c>
      <c r="U55" s="53">
        <f>'version consolidée hors UE'!M58</f>
        <v>0</v>
      </c>
      <c r="V55" s="53">
        <f>'version consolidée hors UE'!AM58*W55</f>
        <v>0</v>
      </c>
      <c r="W55" s="231">
        <f t="shared" si="4"/>
        <v>0</v>
      </c>
      <c r="X55" s="53">
        <f>'version consolidée hors UE'!T58+'version consolidée hors UE'!AJ58+'version consolidée hors UE'!AL58</f>
        <v>5662.5499999999993</v>
      </c>
      <c r="Y55" s="53">
        <f>'version consolidée hors UE'!AM58*Z55</f>
        <v>0</v>
      </c>
      <c r="Z55" s="231">
        <f t="shared" si="5"/>
        <v>0.46970326628559855</v>
      </c>
      <c r="AA55" s="53">
        <f t="shared" si="6"/>
        <v>12055.59</v>
      </c>
      <c r="AB55" s="53">
        <f t="shared" si="13"/>
        <v>0</v>
      </c>
      <c r="AC55" s="62">
        <f t="shared" si="8"/>
        <v>1</v>
      </c>
      <c r="AE55" s="62">
        <f t="shared" si="9"/>
        <v>3.0059890428101439E-4</v>
      </c>
      <c r="AF55" s="62">
        <f t="shared" si="10"/>
        <v>0</v>
      </c>
      <c r="AG55" s="62">
        <f t="shared" si="12"/>
        <v>3.1049385652813605E-5</v>
      </c>
    </row>
    <row r="56" spans="2:33">
      <c r="B56" s="132" t="s">
        <v>301</v>
      </c>
      <c r="C56" s="138">
        <f>'version consolidée hors UE'!AO59</f>
        <v>993.03</v>
      </c>
      <c r="D56" s="22">
        <f t="shared" si="2"/>
        <v>4.6933886095967952E-6</v>
      </c>
      <c r="E56" s="86">
        <f t="shared" si="11"/>
        <v>137</v>
      </c>
      <c r="P56"/>
      <c r="Q56" s="132" t="s">
        <v>301</v>
      </c>
      <c r="R56" s="53">
        <f>'version consolidée hors UE'!F59</f>
        <v>166.57</v>
      </c>
      <c r="S56" s="53">
        <f>'version consolidée hors UE'!AM59*T56</f>
        <v>0</v>
      </c>
      <c r="T56" s="62">
        <f t="shared" si="3"/>
        <v>0.16773914181847477</v>
      </c>
      <c r="U56" s="53">
        <f>'version consolidée hors UE'!M59</f>
        <v>0</v>
      </c>
      <c r="V56" s="53">
        <f>'version consolidée hors UE'!AM59*W56</f>
        <v>0</v>
      </c>
      <c r="W56" s="231">
        <f t="shared" si="4"/>
        <v>0</v>
      </c>
      <c r="X56" s="53">
        <f>'version consolidée hors UE'!T59+'version consolidée hors UE'!AJ59+'version consolidée hors UE'!AL59</f>
        <v>826.45999999999992</v>
      </c>
      <c r="Y56" s="53">
        <f>'version consolidée hors UE'!AM59*Z56</f>
        <v>0</v>
      </c>
      <c r="Z56" s="231">
        <f t="shared" si="5"/>
        <v>0.83226085818152518</v>
      </c>
      <c r="AA56" s="53">
        <f t="shared" si="6"/>
        <v>993.03</v>
      </c>
      <c r="AB56" s="53">
        <f t="shared" si="13"/>
        <v>0</v>
      </c>
      <c r="AC56" s="62">
        <f t="shared" si="8"/>
        <v>1</v>
      </c>
      <c r="AE56" s="62">
        <f t="shared" si="9"/>
        <v>7.8320735496866223E-6</v>
      </c>
      <c r="AF56" s="62">
        <f t="shared" si="10"/>
        <v>0</v>
      </c>
      <c r="AG56" s="62">
        <f t="shared" si="12"/>
        <v>4.5317172063159417E-6</v>
      </c>
    </row>
    <row r="57" spans="2:33">
      <c r="B57" s="86" t="s">
        <v>81</v>
      </c>
      <c r="C57" s="138">
        <f>'version consolidée hors UE'!AO60</f>
        <v>27174.059999999998</v>
      </c>
      <c r="D57" s="22">
        <f t="shared" si="2"/>
        <v>1.2843360591371851E-4</v>
      </c>
      <c r="E57" s="86">
        <f t="shared" si="11"/>
        <v>70</v>
      </c>
      <c r="P57"/>
      <c r="Q57" s="86" t="s">
        <v>81</v>
      </c>
      <c r="R57" s="53">
        <f>'version consolidée hors UE'!F60</f>
        <v>5353.59</v>
      </c>
      <c r="S57" s="53">
        <f>'version consolidée hors UE'!AM60*T57</f>
        <v>0</v>
      </c>
      <c r="T57" s="62">
        <f t="shared" si="3"/>
        <v>0.19701104656426019</v>
      </c>
      <c r="U57" s="53">
        <f>'version consolidée hors UE'!M60</f>
        <v>0</v>
      </c>
      <c r="V57" s="53">
        <f>'version consolidée hors UE'!AM60*W57</f>
        <v>0</v>
      </c>
      <c r="W57" s="231">
        <f t="shared" si="4"/>
        <v>0</v>
      </c>
      <c r="X57" s="53">
        <f>'version consolidée hors UE'!T60+'version consolidée hors UE'!AJ60+'version consolidée hors UE'!AL60</f>
        <v>21820.469999999998</v>
      </c>
      <c r="Y57" s="53">
        <f>'version consolidée hors UE'!AM60*Z57</f>
        <v>0</v>
      </c>
      <c r="Z57" s="231">
        <f t="shared" si="5"/>
        <v>0.80298895343573984</v>
      </c>
      <c r="AA57" s="53">
        <f t="shared" si="6"/>
        <v>27174.059999999998</v>
      </c>
      <c r="AB57" s="53">
        <f t="shared" si="13"/>
        <v>0</v>
      </c>
      <c r="AC57" s="62">
        <f t="shared" si="8"/>
        <v>1</v>
      </c>
      <c r="AE57" s="62">
        <f t="shared" si="9"/>
        <v>2.5172426388225252E-4</v>
      </c>
      <c r="AF57" s="62">
        <f t="shared" si="10"/>
        <v>0</v>
      </c>
      <c r="AG57" s="62">
        <f t="shared" si="12"/>
        <v>1.1964789505711203E-4</v>
      </c>
    </row>
    <row r="58" spans="2:33">
      <c r="B58" s="86" t="s">
        <v>82</v>
      </c>
      <c r="C58" s="138">
        <f>'version consolidée hors UE'!AO61</f>
        <v>263.78000000000003</v>
      </c>
      <c r="D58" s="22">
        <f t="shared" si="2"/>
        <v>1.2467116274829994E-6</v>
      </c>
      <c r="E58" s="86">
        <f t="shared" si="11"/>
        <v>152</v>
      </c>
      <c r="P58"/>
      <c r="Q58" s="86" t="s">
        <v>82</v>
      </c>
      <c r="R58" s="53">
        <f>'version consolidée hors UE'!F61</f>
        <v>263.78000000000003</v>
      </c>
      <c r="S58" s="53">
        <f>'version consolidée hors UE'!AM61*T58</f>
        <v>0</v>
      </c>
      <c r="T58" s="62">
        <f t="shared" si="3"/>
        <v>1</v>
      </c>
      <c r="U58" s="53">
        <f>'version consolidée hors UE'!M61</f>
        <v>0</v>
      </c>
      <c r="V58" s="53">
        <f>'version consolidée hors UE'!AM61*W58</f>
        <v>0</v>
      </c>
      <c r="W58" s="231">
        <f t="shared" si="4"/>
        <v>0</v>
      </c>
      <c r="X58" s="53">
        <f>'version consolidée hors UE'!T61+'version consolidée hors UE'!AJ61+'version consolidée hors UE'!AL61</f>
        <v>0</v>
      </c>
      <c r="Y58" s="53">
        <f>'version consolidée hors UE'!AM61*Z58</f>
        <v>0</v>
      </c>
      <c r="Z58" s="231">
        <f t="shared" si="5"/>
        <v>0</v>
      </c>
      <c r="AA58" s="53">
        <f t="shared" si="6"/>
        <v>263.78000000000003</v>
      </c>
      <c r="AB58" s="53">
        <f t="shared" si="13"/>
        <v>0</v>
      </c>
      <c r="AC58" s="62">
        <f t="shared" si="8"/>
        <v>1</v>
      </c>
      <c r="AE58" s="62">
        <f t="shared" si="9"/>
        <v>1.2402859824316127E-5</v>
      </c>
      <c r="AF58" s="62">
        <f t="shared" si="10"/>
        <v>0</v>
      </c>
      <c r="AG58" s="62">
        <f t="shared" si="12"/>
        <v>0</v>
      </c>
    </row>
    <row r="59" spans="2:33">
      <c r="B59" s="86" t="s">
        <v>219</v>
      </c>
      <c r="C59" s="138">
        <f>'version consolidée hors UE'!AO62</f>
        <v>4065.2200000000003</v>
      </c>
      <c r="D59" s="22">
        <f t="shared" si="2"/>
        <v>1.9213575867300169E-5</v>
      </c>
      <c r="E59" s="86">
        <f t="shared" si="11"/>
        <v>114</v>
      </c>
      <c r="P59"/>
      <c r="Q59" s="86" t="s">
        <v>219</v>
      </c>
      <c r="R59" s="53">
        <f>'version consolidée hors UE'!F62</f>
        <v>1352.76</v>
      </c>
      <c r="S59" s="53">
        <f>'version consolidée hors UE'!AM62*T59</f>
        <v>0</v>
      </c>
      <c r="T59" s="62">
        <f t="shared" si="3"/>
        <v>0.3327642784400352</v>
      </c>
      <c r="U59" s="53">
        <f>'version consolidée hors UE'!M62</f>
        <v>0</v>
      </c>
      <c r="V59" s="53">
        <f>'version consolidée hors UE'!AM62*W59</f>
        <v>0</v>
      </c>
      <c r="W59" s="231">
        <f t="shared" si="4"/>
        <v>0</v>
      </c>
      <c r="X59" s="53">
        <f>'version consolidée hors UE'!T62+'version consolidée hors UE'!AJ62+'version consolidée hors UE'!AL62</f>
        <v>2712.46</v>
      </c>
      <c r="Y59" s="53">
        <f>'version consolidée hors UE'!AM62*Z59</f>
        <v>0</v>
      </c>
      <c r="Z59" s="231">
        <f t="shared" si="5"/>
        <v>0.66723572155996469</v>
      </c>
      <c r="AA59" s="53">
        <f t="shared" si="6"/>
        <v>4065.2200000000003</v>
      </c>
      <c r="AB59" s="53">
        <f t="shared" si="13"/>
        <v>0</v>
      </c>
      <c r="AC59" s="62">
        <f t="shared" si="8"/>
        <v>0.99999999999999989</v>
      </c>
      <c r="AE59" s="62">
        <f t="shared" si="9"/>
        <v>6.360638659466935E-5</v>
      </c>
      <c r="AF59" s="62">
        <f t="shared" si="10"/>
        <v>0</v>
      </c>
      <c r="AG59" s="62">
        <f t="shared" si="12"/>
        <v>1.4873196105611572E-5</v>
      </c>
    </row>
    <row r="60" spans="2:33">
      <c r="B60" s="86" t="s">
        <v>83</v>
      </c>
      <c r="C60" s="138">
        <f>'version consolidée hors UE'!AO63</f>
        <v>4523.9500000000007</v>
      </c>
      <c r="D60" s="22">
        <f t="shared" si="2"/>
        <v>2.138168575006337E-5</v>
      </c>
      <c r="E60" s="86">
        <f t="shared" si="11"/>
        <v>112</v>
      </c>
      <c r="P60"/>
      <c r="Q60" s="86" t="s">
        <v>83</v>
      </c>
      <c r="R60" s="53">
        <f>'version consolidée hors UE'!F63</f>
        <v>250.07999999999998</v>
      </c>
      <c r="S60" s="53">
        <f>'version consolidée hors UE'!AM63*T60</f>
        <v>0</v>
      </c>
      <c r="T60" s="62">
        <f t="shared" si="3"/>
        <v>5.5279125542943654E-2</v>
      </c>
      <c r="U60" s="53">
        <f>'version consolidée hors UE'!M63</f>
        <v>0</v>
      </c>
      <c r="V60" s="53">
        <f>'version consolidée hors UE'!AM63*W60</f>
        <v>0</v>
      </c>
      <c r="W60" s="231">
        <f t="shared" si="4"/>
        <v>0</v>
      </c>
      <c r="X60" s="53">
        <f>'version consolidée hors UE'!T63+'version consolidée hors UE'!AJ63+'version consolidée hors UE'!AL63</f>
        <v>4273.8700000000008</v>
      </c>
      <c r="Y60" s="53">
        <f>'version consolidée hors UE'!AM63*Z60</f>
        <v>0</v>
      </c>
      <c r="Z60" s="231">
        <f t="shared" si="5"/>
        <v>0.94472087445705633</v>
      </c>
      <c r="AA60" s="53">
        <f t="shared" si="6"/>
        <v>4523.9500000000007</v>
      </c>
      <c r="AB60" s="53">
        <f t="shared" si="13"/>
        <v>0</v>
      </c>
      <c r="AC60" s="62">
        <f t="shared" si="8"/>
        <v>1</v>
      </c>
      <c r="AE60" s="62">
        <f t="shared" si="9"/>
        <v>1.1758689759894521E-5</v>
      </c>
      <c r="AF60" s="62">
        <f t="shared" si="10"/>
        <v>0</v>
      </c>
      <c r="AG60" s="62">
        <f t="shared" si="12"/>
        <v>2.3434854943442538E-5</v>
      </c>
    </row>
    <row r="61" spans="2:33">
      <c r="B61" s="132" t="s">
        <v>302</v>
      </c>
      <c r="C61" s="138">
        <f>'version consolidée hors UE'!AO64</f>
        <v>731.9</v>
      </c>
      <c r="D61" s="22">
        <f t="shared" si="2"/>
        <v>3.4592017596285052E-6</v>
      </c>
      <c r="E61" s="86">
        <f t="shared" si="11"/>
        <v>139</v>
      </c>
      <c r="P61"/>
      <c r="Q61" s="132" t="s">
        <v>302</v>
      </c>
      <c r="R61" s="53">
        <f>'version consolidée hors UE'!F64</f>
        <v>731.9</v>
      </c>
      <c r="S61" s="53">
        <f>'version consolidée hors UE'!AM64*T61</f>
        <v>0</v>
      </c>
      <c r="T61" s="62">
        <f t="shared" si="3"/>
        <v>1</v>
      </c>
      <c r="U61" s="53">
        <f>'version consolidée hors UE'!M64</f>
        <v>0</v>
      </c>
      <c r="V61" s="53">
        <f>'version consolidée hors UE'!AM64*W61</f>
        <v>0</v>
      </c>
      <c r="W61" s="231">
        <f t="shared" si="4"/>
        <v>0</v>
      </c>
      <c r="X61" s="53">
        <f>'version consolidée hors UE'!T64+'version consolidée hors UE'!AJ64+'version consolidée hors UE'!AL64</f>
        <v>0</v>
      </c>
      <c r="Y61" s="53">
        <f>'version consolidée hors UE'!AM64*Z61</f>
        <v>0</v>
      </c>
      <c r="Z61" s="231">
        <f t="shared" si="5"/>
        <v>0</v>
      </c>
      <c r="AA61" s="53">
        <f t="shared" si="6"/>
        <v>731.9</v>
      </c>
      <c r="AB61" s="53">
        <f t="shared" si="13"/>
        <v>0</v>
      </c>
      <c r="AC61" s="62">
        <f t="shared" si="8"/>
        <v>1</v>
      </c>
      <c r="AE61" s="62">
        <f t="shared" si="9"/>
        <v>3.441372774818778E-5</v>
      </c>
      <c r="AF61" s="62">
        <f t="shared" si="10"/>
        <v>0</v>
      </c>
      <c r="AG61" s="62">
        <f t="shared" si="12"/>
        <v>0</v>
      </c>
    </row>
    <row r="62" spans="2:33">
      <c r="B62" s="86" t="s">
        <v>84</v>
      </c>
      <c r="C62" s="138">
        <f>'version consolidée hors UE'!AO65</f>
        <v>282.45</v>
      </c>
      <c r="D62" s="22">
        <f t="shared" si="2"/>
        <v>1.3349522298224776E-6</v>
      </c>
      <c r="E62" s="86">
        <f t="shared" si="11"/>
        <v>149</v>
      </c>
      <c r="P62"/>
      <c r="Q62" s="86" t="s">
        <v>84</v>
      </c>
      <c r="R62" s="53">
        <f>'version consolidée hors UE'!F65</f>
        <v>282.45</v>
      </c>
      <c r="S62" s="53">
        <f>'version consolidée hors UE'!AM65*T62</f>
        <v>0</v>
      </c>
      <c r="T62" s="62">
        <f t="shared" si="3"/>
        <v>1</v>
      </c>
      <c r="U62" s="53">
        <f>'version consolidée hors UE'!M65</f>
        <v>0</v>
      </c>
      <c r="V62" s="53">
        <f>'version consolidée hors UE'!AM65*W62</f>
        <v>0</v>
      </c>
      <c r="W62" s="231">
        <f t="shared" si="4"/>
        <v>0</v>
      </c>
      <c r="X62" s="53">
        <f>'version consolidée hors UE'!T65+'version consolidée hors UE'!AJ65+'version consolidée hors UE'!AL65</f>
        <v>0</v>
      </c>
      <c r="Y62" s="53">
        <f>'version consolidée hors UE'!AM65*Z62</f>
        <v>0</v>
      </c>
      <c r="Z62" s="231">
        <f>IFERROR(X62/AA62,0)</f>
        <v>0</v>
      </c>
      <c r="AA62" s="53">
        <f t="shared" si="6"/>
        <v>282.45</v>
      </c>
      <c r="AB62" s="53">
        <f t="shared" si="13"/>
        <v>0</v>
      </c>
      <c r="AC62" s="62">
        <f t="shared" si="8"/>
        <v>1</v>
      </c>
      <c r="AE62" s="62">
        <f t="shared" si="9"/>
        <v>1.3280717861013305E-5</v>
      </c>
      <c r="AF62" s="62">
        <f t="shared" si="10"/>
        <v>0</v>
      </c>
      <c r="AG62" s="62">
        <f t="shared" si="12"/>
        <v>0</v>
      </c>
    </row>
    <row r="63" spans="2:33">
      <c r="B63" s="86" t="s">
        <v>85</v>
      </c>
      <c r="C63" s="138">
        <f>'version consolidée hors UE'!AO66</f>
        <v>81434.81</v>
      </c>
      <c r="D63" s="22">
        <f t="shared" si="2"/>
        <v>3.8488787818966117E-4</v>
      </c>
      <c r="E63" s="86">
        <f t="shared" si="11"/>
        <v>51</v>
      </c>
      <c r="P63"/>
      <c r="Q63" s="86" t="s">
        <v>85</v>
      </c>
      <c r="R63" s="53">
        <f>'version consolidée hors UE'!F66</f>
        <v>26528.01</v>
      </c>
      <c r="S63" s="53">
        <f>'version consolidée hors UE'!AM66*T63</f>
        <v>0</v>
      </c>
      <c r="T63" s="62">
        <f t="shared" si="3"/>
        <v>0.32575762134153685</v>
      </c>
      <c r="U63" s="53">
        <f>'version consolidée hors UE'!M66</f>
        <v>0</v>
      </c>
      <c r="V63" s="53">
        <f>'version consolidée hors UE'!AM66*W63</f>
        <v>0</v>
      </c>
      <c r="W63" s="231">
        <f t="shared" si="4"/>
        <v>0</v>
      </c>
      <c r="X63" s="53">
        <f>'version consolidée hors UE'!T66+'version consolidée hors UE'!AJ66+'version consolidée hors UE'!AL66</f>
        <v>54906.8</v>
      </c>
      <c r="Y63" s="53">
        <f>'version consolidée hors UE'!AM66*Z63</f>
        <v>0</v>
      </c>
      <c r="Z63" s="231">
        <f t="shared" si="5"/>
        <v>0.67424237865846315</v>
      </c>
      <c r="AA63" s="53">
        <f t="shared" si="6"/>
        <v>81434.81</v>
      </c>
      <c r="AB63" s="53">
        <f t="shared" si="13"/>
        <v>0</v>
      </c>
      <c r="AC63" s="62">
        <f t="shared" si="8"/>
        <v>1</v>
      </c>
      <c r="AE63" s="62">
        <f t="shared" si="9"/>
        <v>1.2473394095384655E-3</v>
      </c>
      <c r="AF63" s="62">
        <f t="shared" si="10"/>
        <v>0</v>
      </c>
      <c r="AG63" s="62">
        <f t="shared" si="12"/>
        <v>3.0106973150999223E-4</v>
      </c>
    </row>
    <row r="64" spans="2:33">
      <c r="B64" s="86" t="s">
        <v>86</v>
      </c>
      <c r="C64" s="138">
        <f>'version consolidée hors UE'!AO67</f>
        <v>2571.34</v>
      </c>
      <c r="D64" s="22">
        <f t="shared" si="2"/>
        <v>1.2153004307423366E-5</v>
      </c>
      <c r="E64" s="86">
        <f t="shared" si="11"/>
        <v>121</v>
      </c>
      <c r="P64"/>
      <c r="Q64" s="86" t="s">
        <v>86</v>
      </c>
      <c r="R64" s="53">
        <f>'version consolidée hors UE'!F67</f>
        <v>2571.34</v>
      </c>
      <c r="S64" s="53">
        <f>'version consolidée hors UE'!AM67*T64</f>
        <v>0</v>
      </c>
      <c r="T64" s="62">
        <f t="shared" si="3"/>
        <v>1</v>
      </c>
      <c r="U64" s="53">
        <f>'version consolidée hors UE'!M67</f>
        <v>0</v>
      </c>
      <c r="V64" s="53">
        <f>'version consolidée hors UE'!AM67*W64</f>
        <v>0</v>
      </c>
      <c r="W64" s="231">
        <f t="shared" si="4"/>
        <v>0</v>
      </c>
      <c r="X64" s="53">
        <f>'version consolidée hors UE'!T67+'version consolidée hors UE'!AJ67+'version consolidée hors UE'!AL67</f>
        <v>0</v>
      </c>
      <c r="Y64" s="53">
        <f>'version consolidée hors UE'!AM67*Z64</f>
        <v>0</v>
      </c>
      <c r="Z64" s="231">
        <f t="shared" si="5"/>
        <v>0</v>
      </c>
      <c r="AA64" s="53">
        <f t="shared" si="6"/>
        <v>2571.34</v>
      </c>
      <c r="AB64" s="53">
        <f t="shared" si="13"/>
        <v>0</v>
      </c>
      <c r="AC64" s="62">
        <f t="shared" si="8"/>
        <v>1</v>
      </c>
      <c r="AE64" s="62">
        <f t="shared" si="9"/>
        <v>1.2090366813502551E-4</v>
      </c>
      <c r="AF64" s="62">
        <f t="shared" si="10"/>
        <v>0</v>
      </c>
      <c r="AG64" s="62">
        <f t="shared" si="12"/>
        <v>0</v>
      </c>
    </row>
    <row r="65" spans="2:33">
      <c r="B65" s="86" t="s">
        <v>87</v>
      </c>
      <c r="C65" s="138">
        <f>'version consolidée hors UE'!AO68</f>
        <v>30157.1</v>
      </c>
      <c r="D65" s="22">
        <f t="shared" si="2"/>
        <v>1.4253244075050251E-4</v>
      </c>
      <c r="E65" s="86">
        <f t="shared" si="11"/>
        <v>66</v>
      </c>
      <c r="P65"/>
      <c r="Q65" s="86" t="s">
        <v>87</v>
      </c>
      <c r="R65" s="53">
        <f>'version consolidée hors UE'!F68</f>
        <v>7462.01</v>
      </c>
      <c r="S65" s="53">
        <f>'version consolidée hors UE'!AM68*T65</f>
        <v>0</v>
      </c>
      <c r="T65" s="62">
        <f t="shared" si="3"/>
        <v>0.24743791677581733</v>
      </c>
      <c r="U65" s="53">
        <f>'version consolidée hors UE'!M68</f>
        <v>13538.99</v>
      </c>
      <c r="V65" s="53">
        <f>'version consolidée hors UE'!AM68*W65</f>
        <v>0</v>
      </c>
      <c r="W65" s="231">
        <f t="shared" si="4"/>
        <v>0.44894867212032991</v>
      </c>
      <c r="X65" s="53">
        <f>'version consolidée hors UE'!T68+'version consolidée hors UE'!AJ68+'version consolidée hors UE'!AL68</f>
        <v>9156.1</v>
      </c>
      <c r="Y65" s="53">
        <f>'version consolidée hors UE'!AM68*Z65</f>
        <v>0</v>
      </c>
      <c r="Z65" s="231">
        <f t="shared" si="5"/>
        <v>0.30361341110385287</v>
      </c>
      <c r="AA65" s="53">
        <f t="shared" si="6"/>
        <v>30157.1</v>
      </c>
      <c r="AB65" s="53">
        <f t="shared" si="13"/>
        <v>0</v>
      </c>
      <c r="AC65" s="62">
        <f t="shared" si="8"/>
        <v>1</v>
      </c>
      <c r="AE65" s="62">
        <f t="shared" si="9"/>
        <v>3.5086156659961022E-4</v>
      </c>
      <c r="AF65" s="62">
        <f t="shared" si="10"/>
        <v>1.7050420891065094E-3</v>
      </c>
      <c r="AG65" s="62">
        <f t="shared" si="12"/>
        <v>5.0205522242757541E-5</v>
      </c>
    </row>
    <row r="66" spans="2:33">
      <c r="B66" s="66" t="s">
        <v>88</v>
      </c>
      <c r="C66" s="138">
        <f>'version consolidée hors UE'!AO69</f>
        <v>0</v>
      </c>
      <c r="D66" s="22">
        <f t="shared" si="2"/>
        <v>0</v>
      </c>
      <c r="E66" s="86">
        <f t="shared" si="11"/>
        <v>168</v>
      </c>
      <c r="P66"/>
      <c r="Q66" s="66" t="s">
        <v>88</v>
      </c>
      <c r="R66" s="53">
        <f>'version consolidée hors UE'!F69</f>
        <v>0</v>
      </c>
      <c r="S66" s="53">
        <f>'version consolidée hors UE'!AM69*T66</f>
        <v>0</v>
      </c>
      <c r="T66" s="62">
        <f t="shared" si="3"/>
        <v>0</v>
      </c>
      <c r="U66" s="53">
        <f>'version consolidée hors UE'!M69</f>
        <v>0</v>
      </c>
      <c r="V66" s="53">
        <f>'version consolidée hors UE'!AM69*W66</f>
        <v>0</v>
      </c>
      <c r="W66" s="231">
        <f t="shared" si="4"/>
        <v>0</v>
      </c>
      <c r="X66" s="53">
        <f>'version consolidée hors UE'!T69+'version consolidée hors UE'!AJ69+'version consolidée hors UE'!AL69</f>
        <v>0</v>
      </c>
      <c r="Y66" s="53">
        <f>'version consolidée hors UE'!AM69*Z66</f>
        <v>0</v>
      </c>
      <c r="Z66" s="231">
        <f t="shared" si="5"/>
        <v>0</v>
      </c>
      <c r="AA66" s="53">
        <f t="shared" si="6"/>
        <v>0</v>
      </c>
      <c r="AB66" s="53">
        <f t="shared" si="13"/>
        <v>0</v>
      </c>
      <c r="AC66" s="62">
        <f t="shared" si="8"/>
        <v>0</v>
      </c>
      <c r="AE66" s="62">
        <f t="shared" si="9"/>
        <v>0</v>
      </c>
      <c r="AF66" s="62">
        <f t="shared" si="10"/>
        <v>0</v>
      </c>
      <c r="AG66" s="62">
        <f t="shared" si="12"/>
        <v>0</v>
      </c>
    </row>
    <row r="67" spans="2:33">
      <c r="B67" s="86" t="s">
        <v>260</v>
      </c>
      <c r="C67" s="138">
        <f>'version consolidée hors UE'!AO70</f>
        <v>1533.7199999999998</v>
      </c>
      <c r="D67" s="22">
        <f t="shared" si="2"/>
        <v>7.248868592399823E-6</v>
      </c>
      <c r="E67" s="86">
        <f t="shared" si="11"/>
        <v>129</v>
      </c>
      <c r="P67"/>
      <c r="Q67" s="86" t="s">
        <v>260</v>
      </c>
      <c r="R67" s="53">
        <f>'version consolidée hors UE'!F70</f>
        <v>0</v>
      </c>
      <c r="S67" s="53">
        <f>'version consolidée hors UE'!AM70*T67</f>
        <v>0</v>
      </c>
      <c r="T67" s="62">
        <f t="shared" si="3"/>
        <v>0</v>
      </c>
      <c r="U67" s="53">
        <f>'version consolidée hors UE'!M70</f>
        <v>0</v>
      </c>
      <c r="V67" s="53">
        <f>'version consolidée hors UE'!AM70*W67</f>
        <v>0</v>
      </c>
      <c r="W67" s="231">
        <f t="shared" si="4"/>
        <v>0</v>
      </c>
      <c r="X67" s="53">
        <f>'version consolidée hors UE'!T70+'version consolidée hors UE'!AJ70+'version consolidée hors UE'!AL70</f>
        <v>1533.7199999999998</v>
      </c>
      <c r="Y67" s="53">
        <f>'version consolidée hors UE'!AM70*Z67</f>
        <v>0</v>
      </c>
      <c r="Z67" s="231">
        <f t="shared" si="5"/>
        <v>1</v>
      </c>
      <c r="AA67" s="53">
        <f t="shared" si="6"/>
        <v>1533.7199999999998</v>
      </c>
      <c r="AB67" s="53">
        <f t="shared" si="13"/>
        <v>0</v>
      </c>
      <c r="AC67" s="62">
        <f t="shared" si="8"/>
        <v>1</v>
      </c>
      <c r="AE67" s="62">
        <f t="shared" si="9"/>
        <v>0</v>
      </c>
      <c r="AF67" s="62">
        <f t="shared" si="10"/>
        <v>0</v>
      </c>
      <c r="AG67" s="62">
        <f t="shared" si="12"/>
        <v>8.4098266264197736E-6</v>
      </c>
    </row>
    <row r="68" spans="2:33">
      <c r="B68" s="86" t="s">
        <v>215</v>
      </c>
      <c r="C68" s="138">
        <f>'version consolidée hors UE'!AO71</f>
        <v>0</v>
      </c>
      <c r="D68" s="22">
        <f t="shared" si="2"/>
        <v>0</v>
      </c>
      <c r="E68" s="86">
        <f t="shared" ref="E68:E99" si="14">RANK(C68,$C$4:$C$189)</f>
        <v>168</v>
      </c>
      <c r="P68"/>
      <c r="Q68" s="86" t="s">
        <v>215</v>
      </c>
      <c r="R68" s="53">
        <f>'version consolidée hors UE'!F71</f>
        <v>0</v>
      </c>
      <c r="S68" s="53">
        <f>'version consolidée hors UE'!AM71*T68</f>
        <v>0</v>
      </c>
      <c r="T68" s="62">
        <f t="shared" ref="T68:T131" si="15">IFERROR(R68/AA68,0)</f>
        <v>0</v>
      </c>
      <c r="U68" s="53">
        <f>'version consolidée hors UE'!M71</f>
        <v>0</v>
      </c>
      <c r="V68" s="53">
        <f>'version consolidée hors UE'!AM71*W68</f>
        <v>0</v>
      </c>
      <c r="W68" s="231">
        <f t="shared" si="4"/>
        <v>0</v>
      </c>
      <c r="X68" s="53">
        <f>'version consolidée hors UE'!T71+'version consolidée hors UE'!AJ71+'version consolidée hors UE'!AL71</f>
        <v>0</v>
      </c>
      <c r="Y68" s="53">
        <f>'version consolidée hors UE'!AM71*Z68</f>
        <v>0</v>
      </c>
      <c r="Z68" s="231">
        <f t="shared" si="5"/>
        <v>0</v>
      </c>
      <c r="AA68" s="53">
        <f t="shared" si="6"/>
        <v>0</v>
      </c>
      <c r="AB68" s="53">
        <f t="shared" si="13"/>
        <v>0</v>
      </c>
      <c r="AC68" s="62">
        <f t="shared" si="8"/>
        <v>0</v>
      </c>
      <c r="AE68" s="62">
        <f t="shared" si="9"/>
        <v>0</v>
      </c>
      <c r="AF68" s="62">
        <f t="shared" si="10"/>
        <v>0</v>
      </c>
      <c r="AG68" s="62">
        <f t="shared" si="12"/>
        <v>0</v>
      </c>
    </row>
    <row r="69" spans="2:33">
      <c r="B69" s="86" t="s">
        <v>165</v>
      </c>
      <c r="C69" s="138">
        <f>'version consolidée hors UE'!AO72</f>
        <v>17282.729999999996</v>
      </c>
      <c r="D69" s="22">
        <f t="shared" ref="D69:D132" si="16">C69/$C$190</f>
        <v>8.1683904942183834E-5</v>
      </c>
      <c r="E69" s="86">
        <f t="shared" si="14"/>
        <v>81</v>
      </c>
      <c r="P69"/>
      <c r="Q69" s="86" t="s">
        <v>165</v>
      </c>
      <c r="R69" s="53">
        <f>'version consolidée hors UE'!F72</f>
        <v>8967.8299999999981</v>
      </c>
      <c r="S69" s="53">
        <f>'version consolidée hors UE'!AM72*T69</f>
        <v>0</v>
      </c>
      <c r="T69" s="62">
        <f t="shared" si="15"/>
        <v>0.51888966615806642</v>
      </c>
      <c r="U69" s="53">
        <f>'version consolidée hors UE'!M72</f>
        <v>1451</v>
      </c>
      <c r="V69" s="53">
        <f>'version consolidée hors UE'!AM72*W69</f>
        <v>0</v>
      </c>
      <c r="W69" s="231">
        <f t="shared" ref="W69:W132" si="17">IFERROR(U69/AA69,0)</f>
        <v>8.3956643423810956E-2</v>
      </c>
      <c r="X69" s="53">
        <f>'version consolidée hors UE'!T72+'version consolidée hors UE'!AJ72+'version consolidée hors UE'!AL72</f>
        <v>6863.9</v>
      </c>
      <c r="Y69" s="53">
        <f>'version consolidée hors UE'!AM72*Z69</f>
        <v>0</v>
      </c>
      <c r="Z69" s="231">
        <f t="shared" ref="Z69:Z89" si="18">IFERROR(X69/AA69,0)</f>
        <v>0.39715369041812265</v>
      </c>
      <c r="AA69" s="53">
        <f t="shared" ref="AA69:AA132" si="19">R69+U69+X69</f>
        <v>17282.729999999996</v>
      </c>
      <c r="AB69" s="53">
        <f t="shared" ref="AB69:AB82" si="20">S69+V69+Y69</f>
        <v>0</v>
      </c>
      <c r="AC69" s="62">
        <f t="shared" ref="AC69:AC132" si="21">T69+W69+Z69</f>
        <v>1</v>
      </c>
      <c r="AE69" s="62">
        <f t="shared" ref="AE69:AE132" si="22">R69/$R$190</f>
        <v>4.2166479042496347E-4</v>
      </c>
      <c r="AF69" s="62">
        <f t="shared" ref="AF69:AF132" si="23">U69/$U$190</f>
        <v>1.8273269064336006E-4</v>
      </c>
      <c r="AG69" s="62">
        <f t="shared" ref="AG69:AG132" si="24">X69/$X$190</f>
        <v>3.763673224648742E-5</v>
      </c>
    </row>
    <row r="70" spans="2:33">
      <c r="B70" s="86" t="s">
        <v>89</v>
      </c>
      <c r="C70" s="138">
        <f>'version consolidée hors UE'!AO73</f>
        <v>23694.58</v>
      </c>
      <c r="D70" s="22">
        <f t="shared" si="16"/>
        <v>1.1198843124697144E-4</v>
      </c>
      <c r="E70" s="86">
        <f t="shared" si="14"/>
        <v>73</v>
      </c>
      <c r="P70"/>
      <c r="Q70" s="86" t="s">
        <v>89</v>
      </c>
      <c r="R70" s="53">
        <f>'version consolidée hors UE'!F73</f>
        <v>4715.63</v>
      </c>
      <c r="S70" s="53">
        <f>'version consolidée hors UE'!AM73*T70</f>
        <v>0</v>
      </c>
      <c r="T70" s="62">
        <f t="shared" si="15"/>
        <v>0.19901724360592168</v>
      </c>
      <c r="U70" s="53">
        <f>'version consolidée hors UE'!M73</f>
        <v>0</v>
      </c>
      <c r="V70" s="53">
        <f>'version consolidée hors UE'!AM73*W70</f>
        <v>0</v>
      </c>
      <c r="W70" s="231">
        <f t="shared" si="17"/>
        <v>0</v>
      </c>
      <c r="X70" s="53">
        <f>'version consolidée hors UE'!T73+'version consolidée hors UE'!AJ73+'version consolidée hors UE'!AL73</f>
        <v>18978.95</v>
      </c>
      <c r="Y70" s="53">
        <f>'version consolidée hors UE'!AM73*Z70</f>
        <v>0</v>
      </c>
      <c r="Z70" s="231">
        <f t="shared" si="18"/>
        <v>0.80098275639407823</v>
      </c>
      <c r="AA70" s="53">
        <f t="shared" si="19"/>
        <v>23694.58</v>
      </c>
      <c r="AB70" s="53">
        <f t="shared" si="20"/>
        <v>0</v>
      </c>
      <c r="AC70" s="62">
        <f t="shared" si="21"/>
        <v>0.99999999999999989</v>
      </c>
      <c r="AE70" s="62">
        <f t="shared" si="22"/>
        <v>2.2172756794806224E-4</v>
      </c>
      <c r="AF70" s="62">
        <f t="shared" si="23"/>
        <v>0</v>
      </c>
      <c r="AG70" s="62">
        <f t="shared" si="24"/>
        <v>1.0406702595746914E-4</v>
      </c>
    </row>
    <row r="71" spans="2:33">
      <c r="B71" s="86" t="s">
        <v>90</v>
      </c>
      <c r="C71" s="138">
        <f>'version consolidée hors UE'!AO74</f>
        <v>268626.69</v>
      </c>
      <c r="D71" s="22">
        <f t="shared" si="16"/>
        <v>1.26961868934442E-3</v>
      </c>
      <c r="E71" s="86">
        <f t="shared" si="14"/>
        <v>27</v>
      </c>
      <c r="P71"/>
      <c r="Q71" s="86" t="s">
        <v>90</v>
      </c>
      <c r="R71" s="53">
        <f>'version consolidée hors UE'!F74</f>
        <v>204307.86</v>
      </c>
      <c r="S71" s="53">
        <f>'version consolidée hors UE'!AM74*T71</f>
        <v>0</v>
      </c>
      <c r="T71" s="62">
        <f t="shared" si="15"/>
        <v>0.76056426113131193</v>
      </c>
      <c r="U71" s="53">
        <f>'version consolidée hors UE'!M74</f>
        <v>27388.54</v>
      </c>
      <c r="V71" s="53">
        <f>'version consolidée hors UE'!AM74*W71</f>
        <v>0</v>
      </c>
      <c r="W71" s="231">
        <f t="shared" si="17"/>
        <v>0.1019576275164616</v>
      </c>
      <c r="X71" s="53">
        <f>'version consolidée hors UE'!T74+'version consolidée hors UE'!AJ74+'version consolidée hors UE'!AL74</f>
        <v>36930.29</v>
      </c>
      <c r="Y71" s="53">
        <f>'version consolidée hors UE'!AM74*Z71</f>
        <v>0</v>
      </c>
      <c r="Z71" s="231">
        <f t="shared" si="18"/>
        <v>0.1374781113522264</v>
      </c>
      <c r="AA71" s="53">
        <f t="shared" si="19"/>
        <v>268626.69</v>
      </c>
      <c r="AB71" s="53">
        <f t="shared" si="20"/>
        <v>0</v>
      </c>
      <c r="AC71" s="62">
        <f t="shared" si="21"/>
        <v>1</v>
      </c>
      <c r="AE71" s="62">
        <f t="shared" si="22"/>
        <v>9.6064968859883373E-3</v>
      </c>
      <c r="AF71" s="62">
        <f t="shared" si="23"/>
        <v>3.4491947670525795E-3</v>
      </c>
      <c r="AG71" s="62">
        <f t="shared" si="24"/>
        <v>2.0249937156938941E-4</v>
      </c>
    </row>
    <row r="72" spans="2:33">
      <c r="B72" s="86" t="s">
        <v>91</v>
      </c>
      <c r="C72" s="138">
        <f>'version consolidée hors UE'!AO75</f>
        <v>428804.07999999996</v>
      </c>
      <c r="D72" s="22">
        <f t="shared" si="16"/>
        <v>2.0266700752450914E-3</v>
      </c>
      <c r="E72" s="86">
        <f t="shared" si="14"/>
        <v>22</v>
      </c>
      <c r="P72"/>
      <c r="Q72" s="86" t="s">
        <v>91</v>
      </c>
      <c r="R72" s="53">
        <f>'version consolidée hors UE'!F75</f>
        <v>355208.88</v>
      </c>
      <c r="S72" s="53">
        <f>'version consolidée hors UE'!AM75*T72</f>
        <v>0</v>
      </c>
      <c r="T72" s="62">
        <f t="shared" si="15"/>
        <v>0.8283710360218588</v>
      </c>
      <c r="U72" s="53">
        <f>'version consolidée hors UE'!M75</f>
        <v>1235.22</v>
      </c>
      <c r="V72" s="53">
        <f>'version consolidée hors UE'!AM75*W72</f>
        <v>0</v>
      </c>
      <c r="W72" s="231">
        <f t="shared" si="17"/>
        <v>2.8806162478677913E-3</v>
      </c>
      <c r="X72" s="53">
        <f>'version consolidée hors UE'!T75+'version consolidée hors UE'!AJ75+'version consolidée hors UE'!AL75</f>
        <v>72359.98000000001</v>
      </c>
      <c r="Y72" s="53">
        <f>'version consolidée hors UE'!AM75*Z72</f>
        <v>0</v>
      </c>
      <c r="Z72" s="231">
        <f t="shared" si="18"/>
        <v>0.1687483477302735</v>
      </c>
      <c r="AA72" s="53">
        <f t="shared" si="19"/>
        <v>428804.07999999996</v>
      </c>
      <c r="AB72" s="53">
        <f t="shared" si="20"/>
        <v>0</v>
      </c>
      <c r="AC72" s="62">
        <f t="shared" si="21"/>
        <v>1.0000000000000002</v>
      </c>
      <c r="AE72" s="62">
        <f t="shared" si="22"/>
        <v>1.6701819497279276E-2</v>
      </c>
      <c r="AF72" s="62">
        <f t="shared" si="23"/>
        <v>1.555582867928954E-4</v>
      </c>
      <c r="AG72" s="62">
        <f t="shared" si="24"/>
        <v>3.9677052297107845E-4</v>
      </c>
    </row>
    <row r="73" spans="2:33">
      <c r="B73" s="86" t="s">
        <v>93</v>
      </c>
      <c r="C73" s="138">
        <f>'version consolidée hors UE'!AO76</f>
        <v>265.72000000000003</v>
      </c>
      <c r="D73" s="22">
        <f t="shared" si="16"/>
        <v>1.255880709889994E-6</v>
      </c>
      <c r="E73" s="86">
        <f t="shared" si="14"/>
        <v>151</v>
      </c>
      <c r="P73"/>
      <c r="Q73" s="86" t="s">
        <v>93</v>
      </c>
      <c r="R73" s="53">
        <f>'version consolidée hors UE'!F76</f>
        <v>0</v>
      </c>
      <c r="S73" s="53">
        <f>'version consolidée hors UE'!AM76*T73</f>
        <v>0</v>
      </c>
      <c r="T73" s="62">
        <f t="shared" si="15"/>
        <v>0</v>
      </c>
      <c r="U73" s="53">
        <f>'version consolidée hors UE'!M76</f>
        <v>0</v>
      </c>
      <c r="V73" s="53">
        <f>'version consolidée hors UE'!AM76*W73</f>
        <v>0</v>
      </c>
      <c r="W73" s="231">
        <f t="shared" si="17"/>
        <v>0</v>
      </c>
      <c r="X73" s="53">
        <f>'version consolidée hors UE'!T76+'version consolidée hors UE'!AJ76+'version consolidée hors UE'!AL76</f>
        <v>265.72000000000003</v>
      </c>
      <c r="Y73" s="53">
        <f>'version consolidée hors UE'!AM76*Z73</f>
        <v>0</v>
      </c>
      <c r="Z73" s="231">
        <f t="shared" si="18"/>
        <v>1</v>
      </c>
      <c r="AA73" s="53">
        <f t="shared" si="19"/>
        <v>265.72000000000003</v>
      </c>
      <c r="AB73" s="53">
        <f t="shared" si="20"/>
        <v>0</v>
      </c>
      <c r="AC73" s="62">
        <f t="shared" si="21"/>
        <v>1</v>
      </c>
      <c r="AE73" s="62">
        <f t="shared" si="22"/>
        <v>0</v>
      </c>
      <c r="AF73" s="62">
        <f t="shared" si="23"/>
        <v>0</v>
      </c>
      <c r="AG73" s="62">
        <f t="shared" si="24"/>
        <v>1.4570189677204852E-6</v>
      </c>
    </row>
    <row r="74" spans="2:33">
      <c r="B74" s="86" t="s">
        <v>92</v>
      </c>
      <c r="C74" s="138">
        <f>'version consolidée hors UE'!AO77</f>
        <v>26971.33</v>
      </c>
      <c r="D74" s="22">
        <f t="shared" si="16"/>
        <v>1.274754368021876E-4</v>
      </c>
      <c r="E74" s="86">
        <f t="shared" si="14"/>
        <v>71</v>
      </c>
      <c r="P74"/>
      <c r="Q74" s="86" t="s">
        <v>92</v>
      </c>
      <c r="R74" s="53">
        <f>'version consolidée hors UE'!F77</f>
        <v>25223.86</v>
      </c>
      <c r="S74" s="53">
        <f>'version consolidée hors UE'!AM77*T74</f>
        <v>0</v>
      </c>
      <c r="T74" s="62">
        <f t="shared" si="15"/>
        <v>0.93521009160467794</v>
      </c>
      <c r="U74" s="53">
        <f>'version consolidée hors UE'!M77</f>
        <v>0</v>
      </c>
      <c r="V74" s="53">
        <f>'version consolidée hors UE'!AM77*W74</f>
        <v>0</v>
      </c>
      <c r="W74" s="231">
        <f t="shared" si="17"/>
        <v>0</v>
      </c>
      <c r="X74" s="53">
        <f>'version consolidée hors UE'!T77+'version consolidée hors UE'!AJ77+'version consolidée hors UE'!AL77</f>
        <v>1747.47</v>
      </c>
      <c r="Y74" s="53">
        <f>'version consolidée hors UE'!AM77*Z74</f>
        <v>0</v>
      </c>
      <c r="Z74" s="231">
        <f t="shared" si="18"/>
        <v>6.4789908395321991E-2</v>
      </c>
      <c r="AA74" s="53">
        <f t="shared" si="19"/>
        <v>26971.33</v>
      </c>
      <c r="AB74" s="53">
        <f t="shared" si="20"/>
        <v>0</v>
      </c>
      <c r="AC74" s="62">
        <f t="shared" si="21"/>
        <v>0.99999999999999989</v>
      </c>
      <c r="AE74" s="62">
        <f t="shared" si="22"/>
        <v>1.1860186511796747E-3</v>
      </c>
      <c r="AF74" s="62">
        <f t="shared" si="23"/>
        <v>0</v>
      </c>
      <c r="AG74" s="62">
        <f t="shared" si="24"/>
        <v>9.581879179295936E-6</v>
      </c>
    </row>
    <row r="75" spans="2:33">
      <c r="B75" s="86" t="s">
        <v>94</v>
      </c>
      <c r="C75" s="138">
        <f>'version consolidée hors UE'!AO78</f>
        <v>632011.11</v>
      </c>
      <c r="D75" s="22">
        <f t="shared" si="16"/>
        <v>2.9870937885186021E-3</v>
      </c>
      <c r="E75" s="86">
        <f t="shared" si="14"/>
        <v>16</v>
      </c>
      <c r="P75"/>
      <c r="Q75" s="86" t="s">
        <v>94</v>
      </c>
      <c r="R75" s="53">
        <f>'version consolidée hors UE'!F78</f>
        <v>577911.4</v>
      </c>
      <c r="S75" s="53">
        <f>'version consolidée hors UE'!AM78*T75</f>
        <v>0</v>
      </c>
      <c r="T75" s="62">
        <f t="shared" si="15"/>
        <v>0.91440069779785993</v>
      </c>
      <c r="U75" s="53">
        <f>'version consolidée hors UE'!M78</f>
        <v>40512.129999999997</v>
      </c>
      <c r="V75" s="53">
        <f>'version consolidée hors UE'!AM78*W75</f>
        <v>0</v>
      </c>
      <c r="W75" s="231">
        <f t="shared" si="17"/>
        <v>6.410034469172543E-2</v>
      </c>
      <c r="X75" s="53">
        <f>'version consolidée hors UE'!T78+'version consolidée hors UE'!AJ78+'version consolidée hors UE'!AL78</f>
        <v>13587.58</v>
      </c>
      <c r="Y75" s="53">
        <f>'version consolidée hors UE'!AM78*Z75</f>
        <v>0</v>
      </c>
      <c r="Z75" s="231">
        <f t="shared" si="18"/>
        <v>2.1498957510414651E-2</v>
      </c>
      <c r="AA75" s="53">
        <f t="shared" si="19"/>
        <v>632011.11</v>
      </c>
      <c r="AB75" s="53">
        <f t="shared" si="20"/>
        <v>0</v>
      </c>
      <c r="AC75" s="62">
        <f t="shared" si="21"/>
        <v>1</v>
      </c>
      <c r="AE75" s="62">
        <f t="shared" si="22"/>
        <v>2.7173228012261304E-2</v>
      </c>
      <c r="AF75" s="62">
        <f t="shared" si="23"/>
        <v>5.1019231692581565E-3</v>
      </c>
      <c r="AG75" s="62">
        <f t="shared" si="24"/>
        <v>7.4504598018288078E-5</v>
      </c>
    </row>
    <row r="76" spans="2:33">
      <c r="B76" s="86" t="s">
        <v>95</v>
      </c>
      <c r="C76" s="138">
        <f>'version consolidée hors UE'!AO79</f>
        <v>4043.11</v>
      </c>
      <c r="D76" s="22">
        <f t="shared" si="16"/>
        <v>1.9109076685847257E-5</v>
      </c>
      <c r="E76" s="86">
        <f t="shared" si="14"/>
        <v>116</v>
      </c>
      <c r="P76"/>
      <c r="Q76" s="86" t="s">
        <v>95</v>
      </c>
      <c r="R76" s="53">
        <f>'version consolidée hors UE'!F79</f>
        <v>4000.11</v>
      </c>
      <c r="S76" s="53">
        <f>'version consolidée hors UE'!AM79*T76</f>
        <v>0</v>
      </c>
      <c r="T76" s="62">
        <f t="shared" si="15"/>
        <v>0.98936462277800996</v>
      </c>
      <c r="U76" s="53">
        <f>'version consolidée hors UE'!M79</f>
        <v>0</v>
      </c>
      <c r="V76" s="53">
        <f>'version consolidée hors UE'!AM79*W76</f>
        <v>0</v>
      </c>
      <c r="W76" s="231">
        <f t="shared" si="17"/>
        <v>0</v>
      </c>
      <c r="X76" s="53">
        <f>'version consolidée hors UE'!T79+'version consolidée hors UE'!AJ79+'version consolidée hors UE'!AL79</f>
        <v>43</v>
      </c>
      <c r="Y76" s="53">
        <f>'version consolidée hors UE'!AM79*Z76</f>
        <v>0</v>
      </c>
      <c r="Z76" s="231">
        <f t="shared" si="18"/>
        <v>1.0635377221990002E-2</v>
      </c>
      <c r="AA76" s="53">
        <f t="shared" si="19"/>
        <v>4043.11</v>
      </c>
      <c r="AB76" s="53">
        <f t="shared" si="20"/>
        <v>0</v>
      </c>
      <c r="AC76" s="62">
        <f t="shared" si="21"/>
        <v>1</v>
      </c>
      <c r="AE76" s="62">
        <f t="shared" si="22"/>
        <v>1.880840230944165E-4</v>
      </c>
      <c r="AF76" s="62">
        <f t="shared" si="23"/>
        <v>0</v>
      </c>
      <c r="AG76" s="62">
        <f t="shared" si="24"/>
        <v>2.357813322745027E-7</v>
      </c>
    </row>
    <row r="77" spans="2:33">
      <c r="B77" s="86" t="s">
        <v>96</v>
      </c>
      <c r="C77" s="138">
        <f>'version consolidée hors UE'!AO80</f>
        <v>209141.07</v>
      </c>
      <c r="D77" s="22">
        <f t="shared" si="16"/>
        <v>9.8846995129742913E-4</v>
      </c>
      <c r="E77" s="86">
        <f t="shared" si="14"/>
        <v>33</v>
      </c>
      <c r="P77"/>
      <c r="Q77" s="86" t="s">
        <v>96</v>
      </c>
      <c r="R77" s="53">
        <f>'version consolidée hors UE'!F80</f>
        <v>163545.22</v>
      </c>
      <c r="S77" s="53">
        <f>'version consolidée hors UE'!AM80*T77</f>
        <v>0</v>
      </c>
      <c r="T77" s="62">
        <f t="shared" si="15"/>
        <v>0.78198519305653358</v>
      </c>
      <c r="U77" s="53">
        <f>'version consolidée hors UE'!M80</f>
        <v>2661</v>
      </c>
      <c r="V77" s="53">
        <f>'version consolidée hors UE'!AM80*W77</f>
        <v>0</v>
      </c>
      <c r="W77" s="231">
        <f t="shared" si="17"/>
        <v>1.2723469378826454E-2</v>
      </c>
      <c r="X77" s="53">
        <f>'version consolidée hors UE'!T80+'version consolidée hors UE'!AJ80+'version consolidée hors UE'!AL80</f>
        <v>42934.85</v>
      </c>
      <c r="Y77" s="53">
        <f>'version consolidée hors UE'!AM80*Z77</f>
        <v>0</v>
      </c>
      <c r="Z77" s="231">
        <f t="shared" si="18"/>
        <v>0.20529133756463996</v>
      </c>
      <c r="AA77" s="53">
        <f t="shared" si="19"/>
        <v>209141.07</v>
      </c>
      <c r="AB77" s="53">
        <f t="shared" si="20"/>
        <v>0</v>
      </c>
      <c r="AC77" s="62">
        <f t="shared" si="21"/>
        <v>1</v>
      </c>
      <c r="AE77" s="62">
        <f t="shared" si="22"/>
        <v>7.6898492630106232E-3</v>
      </c>
      <c r="AF77" s="62">
        <f t="shared" si="23"/>
        <v>3.3511487925705108E-4</v>
      </c>
      <c r="AG77" s="62">
        <f t="shared" si="24"/>
        <v>2.3542409613967286E-4</v>
      </c>
    </row>
    <row r="78" spans="2:33">
      <c r="B78" s="86" t="s">
        <v>97</v>
      </c>
      <c r="C78" s="138">
        <f>'version consolidée hors UE'!AO81</f>
        <v>202.64</v>
      </c>
      <c r="D78" s="22">
        <f t="shared" si="16"/>
        <v>9.5774374172854248E-7</v>
      </c>
      <c r="E78" s="86">
        <f t="shared" si="14"/>
        <v>154</v>
      </c>
      <c r="P78"/>
      <c r="Q78" s="86" t="s">
        <v>97</v>
      </c>
      <c r="R78" s="53">
        <f>'version consolidée hors UE'!F81</f>
        <v>129.18</v>
      </c>
      <c r="S78" s="53">
        <f>'version consolidée hors UE'!AM81*T78</f>
        <v>0</v>
      </c>
      <c r="T78" s="62">
        <f t="shared" si="15"/>
        <v>0.63748519542045012</v>
      </c>
      <c r="U78" s="53">
        <f>'version consolidée hors UE'!M81</f>
        <v>0</v>
      </c>
      <c r="V78" s="53">
        <f>'version consolidée hors UE'!AM81*W78</f>
        <v>0</v>
      </c>
      <c r="W78" s="231">
        <f t="shared" si="17"/>
        <v>0</v>
      </c>
      <c r="X78" s="53">
        <f>'version consolidée hors UE'!T81+'version consolidée hors UE'!AJ81+'version consolidée hors UE'!AL81</f>
        <v>73.459999999999994</v>
      </c>
      <c r="Y78" s="53">
        <f>'version consolidée hors UE'!AM81*Z78</f>
        <v>0</v>
      </c>
      <c r="Z78" s="231">
        <f t="shared" si="18"/>
        <v>0.36251480457954993</v>
      </c>
      <c r="AA78" s="53">
        <f t="shared" si="19"/>
        <v>202.64</v>
      </c>
      <c r="AB78" s="53">
        <f t="shared" si="20"/>
        <v>0</v>
      </c>
      <c r="AC78" s="62">
        <f t="shared" si="21"/>
        <v>1</v>
      </c>
      <c r="AE78" s="62">
        <f t="shared" si="22"/>
        <v>6.0740064906556876E-6</v>
      </c>
      <c r="AF78" s="62">
        <f t="shared" si="23"/>
        <v>0</v>
      </c>
      <c r="AG78" s="62">
        <f t="shared" si="24"/>
        <v>4.0280224811360388E-7</v>
      </c>
    </row>
    <row r="79" spans="2:33">
      <c r="B79" s="86" t="s">
        <v>98</v>
      </c>
      <c r="C79" s="138">
        <f>'version consolidée hors UE'!AO82</f>
        <v>19478.400000000001</v>
      </c>
      <c r="D79" s="22">
        <f t="shared" si="16"/>
        <v>9.2061368431135249E-5</v>
      </c>
      <c r="E79" s="86">
        <f t="shared" si="14"/>
        <v>77</v>
      </c>
      <c r="P79"/>
      <c r="Q79" s="86" t="s">
        <v>98</v>
      </c>
      <c r="R79" s="53">
        <f>'version consolidée hors UE'!F82</f>
        <v>6998.32</v>
      </c>
      <c r="S79" s="53">
        <f>'version consolidée hors UE'!AM82*T79</f>
        <v>0</v>
      </c>
      <c r="T79" s="62">
        <f t="shared" si="15"/>
        <v>0.35928618367011661</v>
      </c>
      <c r="U79" s="53">
        <f>'version consolidée hors UE'!M82</f>
        <v>0</v>
      </c>
      <c r="V79" s="53">
        <f>'version consolidée hors UE'!AM82*W79</f>
        <v>0</v>
      </c>
      <c r="W79" s="231">
        <f t="shared" si="17"/>
        <v>0</v>
      </c>
      <c r="X79" s="53">
        <f>'version consolidée hors UE'!T82+'version consolidée hors UE'!AJ82+'version consolidée hors UE'!AL82</f>
        <v>12480.080000000002</v>
      </c>
      <c r="Y79" s="53">
        <f>'version consolidée hors UE'!AM82*Z79</f>
        <v>0</v>
      </c>
      <c r="Z79" s="231">
        <f t="shared" si="18"/>
        <v>0.64071381632988345</v>
      </c>
      <c r="AA79" s="53">
        <f t="shared" si="19"/>
        <v>19478.400000000001</v>
      </c>
      <c r="AB79" s="53">
        <f t="shared" si="20"/>
        <v>0</v>
      </c>
      <c r="AC79" s="62">
        <f t="shared" si="21"/>
        <v>1</v>
      </c>
      <c r="AE79" s="62">
        <f t="shared" si="22"/>
        <v>3.2905899600313909E-4</v>
      </c>
      <c r="AF79" s="62">
        <f t="shared" si="23"/>
        <v>0</v>
      </c>
      <c r="AG79" s="62">
        <f t="shared" si="24"/>
        <v>6.8431857890520378E-5</v>
      </c>
    </row>
    <row r="80" spans="2:33">
      <c r="B80" s="86" t="s">
        <v>99</v>
      </c>
      <c r="C80" s="138">
        <f>'version consolidée hors UE'!AO83</f>
        <v>1822.14</v>
      </c>
      <c r="D80" s="22">
        <f t="shared" si="16"/>
        <v>8.6120370191139298E-6</v>
      </c>
      <c r="E80" s="86">
        <f t="shared" si="14"/>
        <v>128</v>
      </c>
      <c r="P80"/>
      <c r="Q80" s="86" t="s">
        <v>99</v>
      </c>
      <c r="R80" s="53">
        <f>'version consolidée hors UE'!F83</f>
        <v>1235.1500000000001</v>
      </c>
      <c r="S80" s="53">
        <f>'version consolidée hors UE'!AM83*T80</f>
        <v>0</v>
      </c>
      <c r="T80" s="62">
        <f t="shared" si="15"/>
        <v>0.67785680573391727</v>
      </c>
      <c r="U80" s="53">
        <f>'version consolidée hors UE'!M83</f>
        <v>0</v>
      </c>
      <c r="V80" s="53">
        <f>'version consolidée hors UE'!AM83*W80</f>
        <v>0</v>
      </c>
      <c r="W80" s="231">
        <f t="shared" si="17"/>
        <v>0</v>
      </c>
      <c r="X80" s="53">
        <f>'version consolidée hors UE'!T83+'version consolidée hors UE'!AJ83+'version consolidée hors UE'!AL83</f>
        <v>586.99</v>
      </c>
      <c r="Y80" s="53">
        <f>'version consolidée hors UE'!AM83*Z80</f>
        <v>0</v>
      </c>
      <c r="Z80" s="231">
        <f t="shared" si="18"/>
        <v>0.32214319426608273</v>
      </c>
      <c r="AA80" s="53">
        <f t="shared" si="19"/>
        <v>1822.14</v>
      </c>
      <c r="AB80" s="53">
        <f t="shared" si="20"/>
        <v>0</v>
      </c>
      <c r="AC80" s="62">
        <f t="shared" si="21"/>
        <v>1</v>
      </c>
      <c r="AE80" s="62">
        <f t="shared" si="22"/>
        <v>5.8076398180317173E-5</v>
      </c>
      <c r="AF80" s="62">
        <f t="shared" si="23"/>
        <v>0</v>
      </c>
      <c r="AG80" s="62">
        <f t="shared" si="24"/>
        <v>3.2186345170188454E-6</v>
      </c>
    </row>
    <row r="81" spans="2:33">
      <c r="B81" s="86" t="s">
        <v>100</v>
      </c>
      <c r="C81" s="138">
        <f>'version consolidée hors UE'!AO84</f>
        <v>32254.810000000005</v>
      </c>
      <c r="D81" s="22">
        <f t="shared" si="16"/>
        <v>1.5244691284121208E-4</v>
      </c>
      <c r="E81" s="86">
        <f t="shared" si="14"/>
        <v>65</v>
      </c>
      <c r="P81"/>
      <c r="Q81" s="86" t="s">
        <v>100</v>
      </c>
      <c r="R81" s="53">
        <f>'version consolidée hors UE'!F84</f>
        <v>21575.250000000004</v>
      </c>
      <c r="S81" s="53">
        <f>'version consolidée hors UE'!AM84*T81</f>
        <v>0</v>
      </c>
      <c r="T81" s="62">
        <f t="shared" si="15"/>
        <v>0.66890023534474397</v>
      </c>
      <c r="U81" s="53">
        <f>'version consolidée hors UE'!M84</f>
        <v>0</v>
      </c>
      <c r="V81" s="53">
        <f>'version consolidée hors UE'!AM84*W81</f>
        <v>0</v>
      </c>
      <c r="W81" s="231">
        <f t="shared" si="17"/>
        <v>0</v>
      </c>
      <c r="X81" s="53">
        <f>'version consolidée hors UE'!T84+'version consolidée hors UE'!AJ84+'version consolidée hors UE'!AL84</f>
        <v>10679.56</v>
      </c>
      <c r="Y81" s="53">
        <f>'version consolidée hors UE'!AM84*Z81</f>
        <v>0</v>
      </c>
      <c r="Z81" s="231">
        <f t="shared" si="18"/>
        <v>0.33109976465525598</v>
      </c>
      <c r="AA81" s="53">
        <f t="shared" si="19"/>
        <v>32254.810000000005</v>
      </c>
      <c r="AB81" s="53">
        <f t="shared" si="20"/>
        <v>0</v>
      </c>
      <c r="AC81" s="62">
        <f t="shared" si="21"/>
        <v>1</v>
      </c>
      <c r="AE81" s="62">
        <f t="shared" si="22"/>
        <v>1.014462057110382E-3</v>
      </c>
      <c r="AF81" s="62">
        <f t="shared" si="23"/>
        <v>0</v>
      </c>
      <c r="AG81" s="62">
        <f t="shared" si="24"/>
        <v>5.8559090346639254E-5</v>
      </c>
    </row>
    <row r="82" spans="2:33">
      <c r="B82" s="86" t="s">
        <v>101</v>
      </c>
      <c r="C82" s="138">
        <f>'version consolidée hors UE'!AO85</f>
        <v>9134.65</v>
      </c>
      <c r="D82" s="22">
        <f t="shared" si="16"/>
        <v>4.3173380726315791E-5</v>
      </c>
      <c r="E82" s="86">
        <f t="shared" si="14"/>
        <v>101</v>
      </c>
      <c r="P82"/>
      <c r="Q82" s="86" t="s">
        <v>101</v>
      </c>
      <c r="R82" s="53">
        <f>'version consolidée hors UE'!F85</f>
        <v>9134.65</v>
      </c>
      <c r="S82" s="53">
        <f>'version consolidée hors UE'!AM85*T82</f>
        <v>0</v>
      </c>
      <c r="T82" s="62">
        <f t="shared" si="15"/>
        <v>1</v>
      </c>
      <c r="U82" s="53">
        <f>'version consolidée hors UE'!M85</f>
        <v>0</v>
      </c>
      <c r="V82" s="53">
        <f>'version consolidée hors UE'!AM85*W82</f>
        <v>0</v>
      </c>
      <c r="W82" s="231">
        <f t="shared" si="17"/>
        <v>0</v>
      </c>
      <c r="X82" s="53">
        <f>'version consolidée hors UE'!T85+'version consolidée hors UE'!AJ85+'version consolidée hors UE'!AL85</f>
        <v>0</v>
      </c>
      <c r="Y82" s="53">
        <f>'version consolidée hors UE'!AM85*Z82</f>
        <v>0</v>
      </c>
      <c r="Z82" s="231">
        <f t="shared" si="18"/>
        <v>0</v>
      </c>
      <c r="AA82" s="53">
        <f t="shared" si="19"/>
        <v>9134.65</v>
      </c>
      <c r="AB82" s="53">
        <f t="shared" si="20"/>
        <v>0</v>
      </c>
      <c r="AC82" s="62">
        <f t="shared" si="21"/>
        <v>1</v>
      </c>
      <c r="AE82" s="62">
        <f t="shared" si="22"/>
        <v>4.2950861890283306E-4</v>
      </c>
      <c r="AF82" s="62">
        <f t="shared" si="23"/>
        <v>0</v>
      </c>
      <c r="AG82" s="62">
        <f t="shared" si="24"/>
        <v>0</v>
      </c>
    </row>
    <row r="83" spans="2:33">
      <c r="B83" s="132" t="s">
        <v>303</v>
      </c>
      <c r="C83" s="138">
        <f>'version consolidée hors UE'!AO86</f>
        <v>0</v>
      </c>
      <c r="D83" s="22">
        <f t="shared" si="16"/>
        <v>0</v>
      </c>
      <c r="E83" s="86">
        <f t="shared" si="14"/>
        <v>168</v>
      </c>
      <c r="P83"/>
      <c r="Q83" s="132" t="s">
        <v>303</v>
      </c>
      <c r="R83" s="53">
        <f>'version consolidée hors UE'!F86</f>
        <v>0</v>
      </c>
      <c r="S83" s="53">
        <f>'version consolidée hors UE'!AM86*T83</f>
        <v>0</v>
      </c>
      <c r="T83" s="62">
        <f t="shared" si="15"/>
        <v>0</v>
      </c>
      <c r="U83" s="53">
        <f>'version consolidée hors UE'!M86</f>
        <v>0</v>
      </c>
      <c r="V83" s="53">
        <f>'version consolidée hors UE'!AM86*W83</f>
        <v>0</v>
      </c>
      <c r="W83" s="231">
        <f t="shared" si="17"/>
        <v>0</v>
      </c>
      <c r="X83" s="53">
        <f>'version consolidée hors UE'!T86+'version consolidée hors UE'!AJ86+'version consolidée hors UE'!AL86</f>
        <v>0</v>
      </c>
      <c r="Y83" s="53">
        <f>'version consolidée hors UE'!AM86*Z83</f>
        <v>0</v>
      </c>
      <c r="Z83" s="231">
        <f t="shared" si="18"/>
        <v>0</v>
      </c>
      <c r="AA83" s="53">
        <f t="shared" si="19"/>
        <v>0</v>
      </c>
      <c r="AB83" s="53">
        <f t="shared" ref="AB83:AB132" si="25">S83+V83+Y83</f>
        <v>0</v>
      </c>
      <c r="AC83" s="62">
        <f t="shared" si="21"/>
        <v>0</v>
      </c>
      <c r="AE83" s="62">
        <f t="shared" si="22"/>
        <v>0</v>
      </c>
      <c r="AF83" s="62">
        <f t="shared" si="23"/>
        <v>0</v>
      </c>
      <c r="AG83" s="62">
        <f t="shared" si="24"/>
        <v>0</v>
      </c>
    </row>
    <row r="84" spans="2:33">
      <c r="B84" s="132" t="s">
        <v>268</v>
      </c>
      <c r="C84" s="138">
        <f>'version consolidée hors UE'!AO87</f>
        <v>12373.3</v>
      </c>
      <c r="D84" s="22">
        <f t="shared" si="16"/>
        <v>5.8480313065188393E-5</v>
      </c>
      <c r="E84" s="86">
        <f t="shared" si="14"/>
        <v>92</v>
      </c>
      <c r="P84"/>
      <c r="Q84" s="132" t="s">
        <v>268</v>
      </c>
      <c r="R84" s="53">
        <f>'version consolidée hors UE'!F87</f>
        <v>6449.44</v>
      </c>
      <c r="S84" s="53">
        <f>'version consolidée hors UE'!AM87*T84</f>
        <v>0</v>
      </c>
      <c r="T84" s="62">
        <f t="shared" si="15"/>
        <v>0.52123847316399019</v>
      </c>
      <c r="U84" s="53">
        <f>'version consolidée hors UE'!M87</f>
        <v>5880</v>
      </c>
      <c r="V84" s="53">
        <f>'version consolidée hors UE'!AM87*W84</f>
        <v>0</v>
      </c>
      <c r="W84" s="231">
        <f t="shared" si="17"/>
        <v>0.47521679745904488</v>
      </c>
      <c r="X84" s="53">
        <f>'version consolidée hors UE'!T87+'version consolidée hors UE'!AJ87+'version consolidée hors UE'!AL87</f>
        <v>43.86</v>
      </c>
      <c r="Y84" s="53">
        <f>'version consolidée hors UE'!AM87*Z84</f>
        <v>0</v>
      </c>
      <c r="Z84" s="231">
        <f t="shared" si="18"/>
        <v>3.5447293769649167E-3</v>
      </c>
      <c r="AA84" s="53">
        <f t="shared" si="19"/>
        <v>12373.3</v>
      </c>
      <c r="AB84" s="53">
        <f t="shared" si="25"/>
        <v>0</v>
      </c>
      <c r="AC84" s="62">
        <f t="shared" si="21"/>
        <v>1</v>
      </c>
      <c r="AE84" s="62">
        <f t="shared" si="22"/>
        <v>3.0325081607907115E-4</v>
      </c>
      <c r="AF84" s="62">
        <f t="shared" si="23"/>
        <v>7.405018752466968E-4</v>
      </c>
      <c r="AG84" s="62">
        <f t="shared" si="24"/>
        <v>2.4049695891999276E-7</v>
      </c>
    </row>
    <row r="85" spans="2:33">
      <c r="B85" s="86" t="s">
        <v>102</v>
      </c>
      <c r="C85" s="138">
        <f>'version consolidée hors UE'!AO88</f>
        <v>7685.7699999999995</v>
      </c>
      <c r="D85" s="22">
        <f t="shared" si="16"/>
        <v>3.6325494067632159E-5</v>
      </c>
      <c r="E85" s="86">
        <f t="shared" si="14"/>
        <v>108</v>
      </c>
      <c r="P85"/>
      <c r="Q85" s="86" t="s">
        <v>102</v>
      </c>
      <c r="R85" s="53">
        <f>'version consolidée hors UE'!F88</f>
        <v>228.79</v>
      </c>
      <c r="S85" s="53">
        <f>'version consolidée hors UE'!AM88*T85</f>
        <v>0</v>
      </c>
      <c r="T85" s="62">
        <f t="shared" si="15"/>
        <v>2.9767999823049611E-2</v>
      </c>
      <c r="U85" s="53">
        <f>'version consolidée hors UE'!M88</f>
        <v>0</v>
      </c>
      <c r="V85" s="53">
        <f>'version consolidée hors UE'!AM88*W85</f>
        <v>0</v>
      </c>
      <c r="W85" s="231">
        <f t="shared" si="17"/>
        <v>0</v>
      </c>
      <c r="X85" s="53">
        <f>'version consolidée hors UE'!T88+'version consolidée hors UE'!AJ88+'version consolidée hors UE'!AL88</f>
        <v>7456.98</v>
      </c>
      <c r="Y85" s="53">
        <f>'version consolidée hors UE'!AM88*Z85</f>
        <v>0</v>
      </c>
      <c r="Z85" s="231">
        <f t="shared" si="18"/>
        <v>0.97023200017695044</v>
      </c>
      <c r="AA85" s="53">
        <f t="shared" si="19"/>
        <v>7685.7699999999995</v>
      </c>
      <c r="AB85" s="53">
        <f t="shared" si="25"/>
        <v>0</v>
      </c>
      <c r="AC85" s="62">
        <f t="shared" si="21"/>
        <v>1</v>
      </c>
      <c r="AE85" s="62">
        <f t="shared" si="22"/>
        <v>1.07576400758408E-5</v>
      </c>
      <c r="AF85" s="62">
        <f t="shared" si="23"/>
        <v>0</v>
      </c>
      <c r="AG85" s="62">
        <f t="shared" si="24"/>
        <v>4.088875998010049E-5</v>
      </c>
    </row>
    <row r="86" spans="2:33">
      <c r="B86" s="86" t="s">
        <v>103</v>
      </c>
      <c r="C86" s="138">
        <f>'version consolidée hors UE'!AO89</f>
        <v>41783.31</v>
      </c>
      <c r="D86" s="22">
        <f t="shared" si="16"/>
        <v>1.9748175908608186E-4</v>
      </c>
      <c r="E86" s="86">
        <f t="shared" si="14"/>
        <v>60</v>
      </c>
      <c r="P86"/>
      <c r="Q86" s="86" t="s">
        <v>103</v>
      </c>
      <c r="R86" s="53">
        <f>'version consolidée hors UE'!F89</f>
        <v>18206.23</v>
      </c>
      <c r="S86" s="53">
        <f>'version consolidée hors UE'!AM89*T86</f>
        <v>0</v>
      </c>
      <c r="T86" s="62">
        <f t="shared" si="15"/>
        <v>0.43572972079043043</v>
      </c>
      <c r="U86" s="53">
        <f>'version consolidée hors UE'!M89</f>
        <v>1710</v>
      </c>
      <c r="V86" s="53">
        <f>'version consolidée hors UE'!AM89*W86</f>
        <v>0</v>
      </c>
      <c r="W86" s="231">
        <f t="shared" si="17"/>
        <v>4.0925431709455284E-2</v>
      </c>
      <c r="X86" s="53">
        <f>'version consolidée hors UE'!T89+'version consolidée hors UE'!AJ89+'version consolidée hors UE'!AL89</f>
        <v>21867.079999999998</v>
      </c>
      <c r="Y86" s="53">
        <f>'version consolidée hors UE'!AM89*Z86</f>
        <v>0</v>
      </c>
      <c r="Z86" s="231">
        <f t="shared" si="18"/>
        <v>0.52334484750011423</v>
      </c>
      <c r="AA86" s="53">
        <f t="shared" si="19"/>
        <v>41783.31</v>
      </c>
      <c r="AB86" s="53">
        <f t="shared" si="25"/>
        <v>0</v>
      </c>
      <c r="AC86" s="62">
        <f t="shared" si="21"/>
        <v>1</v>
      </c>
      <c r="AE86" s="62">
        <f t="shared" si="22"/>
        <v>8.5605170452369007E-4</v>
      </c>
      <c r="AF86" s="62">
        <f t="shared" si="23"/>
        <v>2.1535003514827408E-4</v>
      </c>
      <c r="AG86" s="62">
        <f t="shared" si="24"/>
        <v>1.19903471054724E-4</v>
      </c>
    </row>
    <row r="87" spans="2:33">
      <c r="B87" s="86" t="s">
        <v>237</v>
      </c>
      <c r="C87" s="138">
        <f>'version consolidée hors UE'!AO90</f>
        <v>0</v>
      </c>
      <c r="D87" s="22">
        <f t="shared" si="16"/>
        <v>0</v>
      </c>
      <c r="E87" s="86">
        <f t="shared" si="14"/>
        <v>168</v>
      </c>
      <c r="P87"/>
      <c r="Q87" s="86" t="s">
        <v>237</v>
      </c>
      <c r="R87" s="53">
        <f>'version consolidée hors UE'!F90</f>
        <v>0</v>
      </c>
      <c r="S87" s="53">
        <f>'version consolidée hors UE'!AM90*T87</f>
        <v>0</v>
      </c>
      <c r="T87" s="62">
        <f t="shared" si="15"/>
        <v>0</v>
      </c>
      <c r="U87" s="53">
        <f>'version consolidée hors UE'!M90</f>
        <v>0</v>
      </c>
      <c r="V87" s="53">
        <f>'version consolidée hors UE'!AM90*W87</f>
        <v>0</v>
      </c>
      <c r="W87" s="231">
        <f t="shared" si="17"/>
        <v>0</v>
      </c>
      <c r="X87" s="53">
        <f>'version consolidée hors UE'!T90+'version consolidée hors UE'!AJ90+'version consolidée hors UE'!AL90</f>
        <v>0</v>
      </c>
      <c r="Y87" s="53">
        <f>'version consolidée hors UE'!AM90*Z87</f>
        <v>0</v>
      </c>
      <c r="Z87" s="231">
        <f t="shared" si="18"/>
        <v>0</v>
      </c>
      <c r="AA87" s="53">
        <f t="shared" si="19"/>
        <v>0</v>
      </c>
      <c r="AB87" s="53">
        <f t="shared" si="25"/>
        <v>0</v>
      </c>
      <c r="AC87" s="62">
        <f t="shared" si="21"/>
        <v>0</v>
      </c>
      <c r="AE87" s="62">
        <f t="shared" si="22"/>
        <v>0</v>
      </c>
      <c r="AF87" s="62">
        <f t="shared" si="23"/>
        <v>0</v>
      </c>
      <c r="AG87" s="62">
        <f t="shared" si="24"/>
        <v>0</v>
      </c>
    </row>
    <row r="88" spans="2:33">
      <c r="B88" s="86" t="s">
        <v>104</v>
      </c>
      <c r="C88" s="138">
        <f>'version consolidée hors UE'!AO91</f>
        <v>334153.70999999996</v>
      </c>
      <c r="D88" s="22">
        <f t="shared" si="16"/>
        <v>1.5793210843262648E-3</v>
      </c>
      <c r="E88" s="86">
        <f t="shared" si="14"/>
        <v>24</v>
      </c>
      <c r="P88"/>
      <c r="Q88" s="86" t="s">
        <v>104</v>
      </c>
      <c r="R88" s="53">
        <f>'version consolidée hors UE'!F91</f>
        <v>186053.03</v>
      </c>
      <c r="S88" s="53">
        <f>'version consolidée hors UE'!AM91*T88</f>
        <v>0</v>
      </c>
      <c r="T88" s="62">
        <f t="shared" si="15"/>
        <v>0.55678876047792503</v>
      </c>
      <c r="U88" s="53">
        <f>'version consolidée hors UE'!M91</f>
        <v>4663.67</v>
      </c>
      <c r="V88" s="53">
        <f>'version consolidée hors UE'!AM91*W88</f>
        <v>0</v>
      </c>
      <c r="W88" s="231">
        <f t="shared" si="17"/>
        <v>1.3956660843298734E-2</v>
      </c>
      <c r="X88" s="53">
        <f>'version consolidée hors UE'!T91+'version consolidée hors UE'!AJ91+'version consolidée hors UE'!AL91</f>
        <v>143437.00999999998</v>
      </c>
      <c r="Y88" s="53">
        <f>'version consolidée hors UE'!AM91*Z88</f>
        <v>0</v>
      </c>
      <c r="Z88" s="231">
        <f t="shared" si="18"/>
        <v>0.42925457867877631</v>
      </c>
      <c r="AA88" s="53">
        <f t="shared" si="19"/>
        <v>334153.70999999996</v>
      </c>
      <c r="AB88" s="53">
        <f t="shared" si="25"/>
        <v>0</v>
      </c>
      <c r="AC88" s="62">
        <f t="shared" si="21"/>
        <v>1</v>
      </c>
      <c r="AE88" s="62">
        <f t="shared" si="22"/>
        <v>8.7481600234258963E-3</v>
      </c>
      <c r="AF88" s="62">
        <f t="shared" si="23"/>
        <v>5.8732251369587798E-4</v>
      </c>
      <c r="AG88" s="62">
        <f t="shared" si="24"/>
        <v>7.8650626314584102E-4</v>
      </c>
    </row>
    <row r="89" spans="2:33">
      <c r="B89" s="86" t="s">
        <v>202</v>
      </c>
      <c r="C89" s="138">
        <f>'version consolidée hors UE'!AO92</f>
        <v>267.64</v>
      </c>
      <c r="D89" s="22">
        <f t="shared" si="16"/>
        <v>1.2649552656742357E-6</v>
      </c>
      <c r="E89" s="86">
        <f t="shared" si="14"/>
        <v>150</v>
      </c>
      <c r="P89"/>
      <c r="Q89" s="86" t="s">
        <v>202</v>
      </c>
      <c r="R89" s="53">
        <f>'version consolidée hors UE'!F92</f>
        <v>186.14999999999998</v>
      </c>
      <c r="S89" s="53">
        <f>'version consolidée hors UE'!AM92*T89</f>
        <v>0</v>
      </c>
      <c r="T89" s="62">
        <f t="shared" si="15"/>
        <v>0.69552383799133155</v>
      </c>
      <c r="U89" s="53">
        <f>'version consolidée hors UE'!M92</f>
        <v>0</v>
      </c>
      <c r="V89" s="53">
        <f>'version consolidée hors UE'!AM92*W89</f>
        <v>0</v>
      </c>
      <c r="W89" s="231">
        <f t="shared" si="17"/>
        <v>0</v>
      </c>
      <c r="X89" s="53">
        <f>'version consolidée hors UE'!T92+'version consolidée hors UE'!AJ92+'version consolidée hors UE'!AL92</f>
        <v>81.489999999999995</v>
      </c>
      <c r="Y89" s="53">
        <f>'version consolidée hors UE'!AM92*Z89</f>
        <v>0</v>
      </c>
      <c r="Z89" s="231">
        <f t="shared" si="18"/>
        <v>0.30447616200866834</v>
      </c>
      <c r="AA89" s="53">
        <f t="shared" si="19"/>
        <v>267.64</v>
      </c>
      <c r="AB89" s="53">
        <f t="shared" si="25"/>
        <v>0</v>
      </c>
      <c r="AC89" s="62">
        <f t="shared" si="21"/>
        <v>0.99999999999999989</v>
      </c>
      <c r="AE89" s="62">
        <f t="shared" si="22"/>
        <v>8.7527195249694692E-6</v>
      </c>
      <c r="AF89" s="62">
        <f t="shared" si="23"/>
        <v>0</v>
      </c>
      <c r="AG89" s="62">
        <f t="shared" si="24"/>
        <v>4.4683304109416799E-7</v>
      </c>
    </row>
    <row r="90" spans="2:33">
      <c r="B90" s="86" t="s">
        <v>105</v>
      </c>
      <c r="C90" s="138">
        <f>'version consolidée hors UE'!AO93</f>
        <v>0</v>
      </c>
      <c r="D90" s="22">
        <f t="shared" si="16"/>
        <v>0</v>
      </c>
      <c r="E90" s="86">
        <f t="shared" si="14"/>
        <v>168</v>
      </c>
      <c r="P90"/>
      <c r="Q90" s="86" t="s">
        <v>105</v>
      </c>
      <c r="R90" s="53">
        <f>'version consolidée hors UE'!F93</f>
        <v>0</v>
      </c>
      <c r="S90" s="53">
        <f>'version consolidée hors UE'!AM93*T90</f>
        <v>0</v>
      </c>
      <c r="T90" s="62">
        <f t="shared" si="15"/>
        <v>0</v>
      </c>
      <c r="U90" s="53">
        <f>'version consolidée hors UE'!M93</f>
        <v>0</v>
      </c>
      <c r="V90" s="53">
        <f>'version consolidée hors UE'!AM93*W90</f>
        <v>0</v>
      </c>
      <c r="W90" s="231">
        <f t="shared" si="17"/>
        <v>0</v>
      </c>
      <c r="X90" s="53">
        <f>'version consolidée hors UE'!T93+'version consolidée hors UE'!AJ93+'version consolidée hors UE'!AL93</f>
        <v>0</v>
      </c>
      <c r="Y90" s="53">
        <f>'version consolidée hors UE'!AM93*Z90</f>
        <v>0</v>
      </c>
      <c r="Z90" s="231">
        <f>IFERROR(X90/AA90,0)</f>
        <v>0</v>
      </c>
      <c r="AA90" s="53">
        <f t="shared" si="19"/>
        <v>0</v>
      </c>
      <c r="AB90" s="53">
        <f t="shared" si="25"/>
        <v>0</v>
      </c>
      <c r="AC90" s="62">
        <f t="shared" si="21"/>
        <v>0</v>
      </c>
      <c r="AE90" s="62">
        <f t="shared" si="22"/>
        <v>0</v>
      </c>
      <c r="AF90" s="62">
        <f t="shared" si="23"/>
        <v>0</v>
      </c>
      <c r="AG90" s="62">
        <f t="shared" si="24"/>
        <v>0</v>
      </c>
    </row>
    <row r="91" spans="2:33" s="57" customFormat="1">
      <c r="B91" s="86" t="s">
        <v>106</v>
      </c>
      <c r="C91" s="138">
        <f>'version consolidée hors UE'!AO94</f>
        <v>8804.4</v>
      </c>
      <c r="D91" s="22">
        <f t="shared" si="16"/>
        <v>4.1612509868114784E-5</v>
      </c>
      <c r="E91" s="86">
        <f t="shared" si="14"/>
        <v>104</v>
      </c>
      <c r="P91"/>
      <c r="Q91" s="86" t="s">
        <v>106</v>
      </c>
      <c r="R91" s="53">
        <f>'version consolidée hors UE'!F94</f>
        <v>6831.01</v>
      </c>
      <c r="S91" s="53">
        <f>'version consolidée hors UE'!AM94*T91</f>
        <v>0</v>
      </c>
      <c r="T91" s="62">
        <f t="shared" si="15"/>
        <v>0.77586320476125581</v>
      </c>
      <c r="U91" s="53">
        <f>'version consolidée hors UE'!M94</f>
        <v>0</v>
      </c>
      <c r="V91" s="53">
        <f>'version consolidée hors UE'!AM94*W91</f>
        <v>0</v>
      </c>
      <c r="W91" s="231">
        <f t="shared" si="17"/>
        <v>0</v>
      </c>
      <c r="X91" s="53">
        <f>'version consolidée hors UE'!T94+'version consolidée hors UE'!AJ94+'version consolidée hors UE'!AL94</f>
        <v>1973.39</v>
      </c>
      <c r="Y91" s="53">
        <f>'version consolidée hors UE'!AM94*Z91</f>
        <v>0</v>
      </c>
      <c r="Z91" s="231">
        <f t="shared" ref="Z91:Z125" si="26">IFERROR(X91/AA91,0)</f>
        <v>0.22413679523874427</v>
      </c>
      <c r="AA91" s="53">
        <f t="shared" si="19"/>
        <v>8804.4</v>
      </c>
      <c r="AB91" s="53">
        <f t="shared" si="25"/>
        <v>0</v>
      </c>
      <c r="AC91" s="62">
        <f t="shared" si="21"/>
        <v>1</v>
      </c>
      <c r="AE91" s="62">
        <f t="shared" si="22"/>
        <v>3.2119212786603117E-4</v>
      </c>
      <c r="AF91" s="62">
        <f t="shared" si="23"/>
        <v>0</v>
      </c>
      <c r="AG91" s="62">
        <f t="shared" si="24"/>
        <v>1.082066333249258E-5</v>
      </c>
    </row>
    <row r="92" spans="2:33">
      <c r="B92" s="86" t="s">
        <v>107</v>
      </c>
      <c r="C92" s="138">
        <f>'version consolidée hors UE'!AO95</f>
        <v>128318.6</v>
      </c>
      <c r="D92" s="22">
        <f t="shared" si="16"/>
        <v>6.0647619471658194E-4</v>
      </c>
      <c r="E92" s="86">
        <f t="shared" si="14"/>
        <v>42</v>
      </c>
      <c r="P92"/>
      <c r="Q92" s="86" t="s">
        <v>107</v>
      </c>
      <c r="R92" s="53">
        <f>'version consolidée hors UE'!F95</f>
        <v>43981.03</v>
      </c>
      <c r="S92" s="53">
        <f>'version consolidée hors UE'!AM95*T92</f>
        <v>0</v>
      </c>
      <c r="T92" s="62">
        <f t="shared" si="15"/>
        <v>0.34274867400361286</v>
      </c>
      <c r="U92" s="53">
        <f>'version consolidée hors UE'!M95</f>
        <v>7652.57</v>
      </c>
      <c r="V92" s="53">
        <f>'version consolidée hors UE'!AM95*W92</f>
        <v>0</v>
      </c>
      <c r="W92" s="231">
        <f t="shared" si="17"/>
        <v>5.963726225192606E-2</v>
      </c>
      <c r="X92" s="53">
        <f>'version consolidée hors UE'!T95+'version consolidée hors UE'!AJ95+'version consolidée hors UE'!AL95</f>
        <v>76685</v>
      </c>
      <c r="Y92" s="53">
        <f>'version consolidée hors UE'!AM95*Z92</f>
        <v>0</v>
      </c>
      <c r="Z92" s="231">
        <f t="shared" si="26"/>
        <v>0.59761406374446102</v>
      </c>
      <c r="AA92" s="53">
        <f t="shared" si="19"/>
        <v>128318.6</v>
      </c>
      <c r="AB92" s="53">
        <f t="shared" si="25"/>
        <v>0</v>
      </c>
      <c r="AC92" s="62">
        <f t="shared" si="21"/>
        <v>1</v>
      </c>
      <c r="AE92" s="62">
        <f t="shared" si="22"/>
        <v>2.0679753962356594E-3</v>
      </c>
      <c r="AF92" s="62">
        <f t="shared" si="23"/>
        <v>9.6373170671030855E-4</v>
      </c>
      <c r="AG92" s="62">
        <f t="shared" si="24"/>
        <v>4.2048584803419165E-4</v>
      </c>
    </row>
    <row r="93" spans="2:33">
      <c r="B93" s="86" t="s">
        <v>108</v>
      </c>
      <c r="C93" s="138">
        <f>'version consolidée hors UE'!AO96</f>
        <v>71875.989999999991</v>
      </c>
      <c r="D93" s="22">
        <f t="shared" si="16"/>
        <v>3.3970972958469848E-4</v>
      </c>
      <c r="E93" s="86">
        <f t="shared" si="14"/>
        <v>52</v>
      </c>
      <c r="P93"/>
      <c r="Q93" s="86" t="s">
        <v>108</v>
      </c>
      <c r="R93" s="53">
        <f>'version consolidée hors UE'!F96</f>
        <v>39088.11</v>
      </c>
      <c r="S93" s="53">
        <f>'version consolidée hors UE'!AM96*T93</f>
        <v>0</v>
      </c>
      <c r="T93" s="62">
        <f t="shared" si="15"/>
        <v>0.54382708328608764</v>
      </c>
      <c r="U93" s="53">
        <f>'version consolidée hors UE'!M96</f>
        <v>0</v>
      </c>
      <c r="V93" s="53">
        <f>'version consolidée hors UE'!AM96*W93</f>
        <v>0</v>
      </c>
      <c r="W93" s="231">
        <f t="shared" si="17"/>
        <v>0</v>
      </c>
      <c r="X93" s="53">
        <f>'version consolidée hors UE'!T96+'version consolidée hors UE'!AJ96+'version consolidée hors UE'!AL96</f>
        <v>32787.879999999997</v>
      </c>
      <c r="Y93" s="53">
        <f>'version consolidée hors UE'!AM96*Z93</f>
        <v>0</v>
      </c>
      <c r="Z93" s="231">
        <f t="shared" si="26"/>
        <v>0.45617291671391241</v>
      </c>
      <c r="AA93" s="53">
        <f t="shared" si="19"/>
        <v>71875.989999999991</v>
      </c>
      <c r="AB93" s="53">
        <f t="shared" si="25"/>
        <v>0</v>
      </c>
      <c r="AC93" s="62">
        <f t="shared" si="21"/>
        <v>1</v>
      </c>
      <c r="AE93" s="62">
        <f t="shared" si="22"/>
        <v>1.8379117034174289E-3</v>
      </c>
      <c r="AF93" s="62">
        <f t="shared" si="23"/>
        <v>0</v>
      </c>
      <c r="AG93" s="62">
        <f t="shared" si="24"/>
        <v>1.7978534950829119E-4</v>
      </c>
    </row>
    <row r="94" spans="2:33">
      <c r="B94" s="86" t="s">
        <v>203</v>
      </c>
      <c r="C94" s="138">
        <f>'version consolidée hors UE'!AO97</f>
        <v>51.59</v>
      </c>
      <c r="D94" s="22">
        <f t="shared" si="16"/>
        <v>2.4383142339012787E-7</v>
      </c>
      <c r="E94" s="86">
        <f t="shared" si="14"/>
        <v>164</v>
      </c>
      <c r="P94"/>
      <c r="Q94" s="86" t="s">
        <v>203</v>
      </c>
      <c r="R94" s="53">
        <f>'version consolidée hors UE'!F97</f>
        <v>0</v>
      </c>
      <c r="S94" s="53">
        <f>'version consolidée hors UE'!AM97*T94</f>
        <v>0</v>
      </c>
      <c r="T94" s="62">
        <f t="shared" si="15"/>
        <v>0</v>
      </c>
      <c r="U94" s="53">
        <f>'version consolidée hors UE'!M97</f>
        <v>0</v>
      </c>
      <c r="V94" s="53">
        <f>'version consolidée hors UE'!AM97*W94</f>
        <v>0</v>
      </c>
      <c r="W94" s="231">
        <f t="shared" si="17"/>
        <v>0</v>
      </c>
      <c r="X94" s="53">
        <f>'version consolidée hors UE'!T97+'version consolidée hors UE'!AJ97+'version consolidée hors UE'!AL97</f>
        <v>51.59</v>
      </c>
      <c r="Y94" s="53">
        <f>'version consolidée hors UE'!AM97*Z94</f>
        <v>0</v>
      </c>
      <c r="Z94" s="231">
        <f t="shared" si="26"/>
        <v>1</v>
      </c>
      <c r="AA94" s="53">
        <f t="shared" si="19"/>
        <v>51.59</v>
      </c>
      <c r="AB94" s="53">
        <f t="shared" si="25"/>
        <v>0</v>
      </c>
      <c r="AC94" s="62">
        <f t="shared" si="21"/>
        <v>1</v>
      </c>
      <c r="AE94" s="62">
        <f t="shared" si="22"/>
        <v>0</v>
      </c>
      <c r="AF94" s="62">
        <f t="shared" si="23"/>
        <v>0</v>
      </c>
      <c r="AG94" s="62">
        <f t="shared" si="24"/>
        <v>2.8288276586143248E-7</v>
      </c>
    </row>
    <row r="95" spans="2:33">
      <c r="B95" s="86" t="s">
        <v>109</v>
      </c>
      <c r="C95" s="138">
        <f>'version consolidée hors UE'!AO98</f>
        <v>10645.529999999999</v>
      </c>
      <c r="D95" s="22">
        <f t="shared" si="16"/>
        <v>5.0314299915532228E-5</v>
      </c>
      <c r="E95" s="86">
        <f t="shared" si="14"/>
        <v>96</v>
      </c>
      <c r="P95"/>
      <c r="Q95" s="86" t="s">
        <v>109</v>
      </c>
      <c r="R95" s="53">
        <f>'version consolidée hors UE'!F98</f>
        <v>10282.56</v>
      </c>
      <c r="S95" s="53">
        <f>'version consolidée hors UE'!AM98*T95</f>
        <v>0</v>
      </c>
      <c r="T95" s="62">
        <f t="shared" si="15"/>
        <v>0.96590399914330249</v>
      </c>
      <c r="U95" s="53">
        <f>'version consolidée hors UE'!M98</f>
        <v>0</v>
      </c>
      <c r="V95" s="53">
        <f>'version consolidée hors UE'!AM98*W95</f>
        <v>0</v>
      </c>
      <c r="W95" s="231">
        <f t="shared" si="17"/>
        <v>0</v>
      </c>
      <c r="X95" s="53">
        <f>'version consolidée hors UE'!T98+'version consolidée hors UE'!AJ98+'version consolidée hors UE'!AL98</f>
        <v>362.96999999999997</v>
      </c>
      <c r="Y95" s="53">
        <f>'version consolidée hors UE'!AM98*Z95</f>
        <v>0</v>
      </c>
      <c r="Z95" s="231">
        <f t="shared" si="26"/>
        <v>3.4096000856697603E-2</v>
      </c>
      <c r="AA95" s="53">
        <f t="shared" si="19"/>
        <v>10645.529999999999</v>
      </c>
      <c r="AB95" s="53">
        <f t="shared" si="25"/>
        <v>0</v>
      </c>
      <c r="AC95" s="62">
        <f t="shared" si="21"/>
        <v>1</v>
      </c>
      <c r="AE95" s="62">
        <f t="shared" si="22"/>
        <v>4.8348301734445377E-4</v>
      </c>
      <c r="AF95" s="62">
        <f t="shared" si="23"/>
        <v>0</v>
      </c>
      <c r="AG95" s="62">
        <f t="shared" si="24"/>
        <v>1.9902686087366568E-6</v>
      </c>
    </row>
    <row r="96" spans="2:33">
      <c r="B96" s="86" t="s">
        <v>33</v>
      </c>
      <c r="C96" s="138">
        <f>'version consolidée hors UE'!AO99</f>
        <v>2661053.5676942682</v>
      </c>
      <c r="D96" s="22">
        <f t="shared" si="16"/>
        <v>1.2577020335884308E-2</v>
      </c>
      <c r="E96" s="86">
        <f t="shared" si="14"/>
        <v>8</v>
      </c>
      <c r="P96"/>
      <c r="Q96" s="86" t="s">
        <v>33</v>
      </c>
      <c r="R96" s="53">
        <f>'version consolidée hors UE'!F99</f>
        <v>38609.480000000003</v>
      </c>
      <c r="S96" s="53">
        <f>'version consolidée hors UE'!AM99*T96</f>
        <v>0</v>
      </c>
      <c r="T96" s="62">
        <f t="shared" si="15"/>
        <v>1.450909537061822E-2</v>
      </c>
      <c r="U96" s="53">
        <f>'version consolidée hors UE'!M99</f>
        <v>576678</v>
      </c>
      <c r="V96" s="53">
        <f>'version consolidée hors UE'!AM99*W96</f>
        <v>0</v>
      </c>
      <c r="W96" s="231">
        <f t="shared" si="17"/>
        <v>0.21671040635971717</v>
      </c>
      <c r="X96" s="53">
        <f>'version consolidée hors UE'!T99+'version consolidée hors UE'!AJ99+'version consolidée hors UE'!AL99</f>
        <v>2045766.0876942684</v>
      </c>
      <c r="Y96" s="53">
        <f>'version consolidée hors UE'!AM99*Z96</f>
        <v>0</v>
      </c>
      <c r="Z96" s="231">
        <f t="shared" si="26"/>
        <v>0.76878049826966466</v>
      </c>
      <c r="AA96" s="53">
        <f t="shared" si="19"/>
        <v>2661053.5676942682</v>
      </c>
      <c r="AB96" s="53">
        <f t="shared" si="25"/>
        <v>0</v>
      </c>
      <c r="AC96" s="62">
        <f t="shared" si="21"/>
        <v>1</v>
      </c>
      <c r="AE96" s="62">
        <f t="shared" si="22"/>
        <v>1.8154066583127495E-3</v>
      </c>
      <c r="AF96" s="62">
        <f t="shared" si="23"/>
        <v>7.2624343607740588E-2</v>
      </c>
      <c r="AG96" s="62">
        <f t="shared" si="24"/>
        <v>1.1217522178570971E-2</v>
      </c>
    </row>
    <row r="97" spans="2:33">
      <c r="B97" s="86" t="s">
        <v>34</v>
      </c>
      <c r="C97" s="138">
        <f>'version consolidée hors UE'!AO100</f>
        <v>16135816.560000001</v>
      </c>
      <c r="D97" s="22">
        <f t="shared" si="16"/>
        <v>7.6263212238550052E-2</v>
      </c>
      <c r="E97" s="86">
        <f t="shared" si="14"/>
        <v>3</v>
      </c>
      <c r="P97"/>
      <c r="Q97" s="86" t="s">
        <v>34</v>
      </c>
      <c r="R97" s="53">
        <f>'version consolidée hors UE'!F100</f>
        <v>3485500.5700000008</v>
      </c>
      <c r="S97" s="53">
        <f>'version consolidée hors UE'!AM100*T97</f>
        <v>144186.58435325694</v>
      </c>
      <c r="T97" s="62">
        <f t="shared" si="15"/>
        <v>0.21601017568831365</v>
      </c>
      <c r="U97" s="53">
        <f>'version consolidée hors UE'!M100</f>
        <v>2716359.7800000003</v>
      </c>
      <c r="V97" s="53">
        <f>'version consolidée hors UE'!AM100*W97</f>
        <v>112369.12193440394</v>
      </c>
      <c r="W97" s="231">
        <f t="shared" si="17"/>
        <v>0.16834349658719722</v>
      </c>
      <c r="X97" s="53">
        <f>'version consolidée hors UE'!T100+'version consolidée hors UE'!AJ100+'version consolidée hors UE'!AL100</f>
        <v>9933956.209999999</v>
      </c>
      <c r="Y97" s="53">
        <f>'version consolidée hors UE'!AM100*Z97</f>
        <v>410943.33117114514</v>
      </c>
      <c r="Z97" s="231">
        <f t="shared" si="26"/>
        <v>0.61564632772448913</v>
      </c>
      <c r="AA97" s="53">
        <f t="shared" si="19"/>
        <v>16135816.560000001</v>
      </c>
      <c r="AB97" s="53">
        <f t="shared" si="25"/>
        <v>667499.03745880607</v>
      </c>
      <c r="AC97" s="62">
        <f t="shared" si="21"/>
        <v>1</v>
      </c>
      <c r="AE97" s="62">
        <f t="shared" si="22"/>
        <v>0.16388723552689349</v>
      </c>
      <c r="AF97" s="62">
        <f t="shared" si="23"/>
        <v>0.34208665151950768</v>
      </c>
      <c r="AG97" s="62">
        <f t="shared" si="24"/>
        <v>5.4470730929078358E-2</v>
      </c>
    </row>
    <row r="98" spans="2:33">
      <c r="B98" s="132" t="s">
        <v>304</v>
      </c>
      <c r="C98" s="138">
        <f>'version consolidée hors UE'!AO101</f>
        <v>0</v>
      </c>
      <c r="D98" s="22">
        <f t="shared" si="16"/>
        <v>0</v>
      </c>
      <c r="E98" s="86">
        <f t="shared" si="14"/>
        <v>168</v>
      </c>
      <c r="P98"/>
      <c r="Q98" s="132" t="s">
        <v>304</v>
      </c>
      <c r="R98" s="53">
        <f>'version consolidée hors UE'!F101</f>
        <v>0</v>
      </c>
      <c r="S98" s="53">
        <f>'version consolidée hors UE'!AM101*T98</f>
        <v>0</v>
      </c>
      <c r="T98" s="62">
        <f t="shared" si="15"/>
        <v>0</v>
      </c>
      <c r="U98" s="53">
        <f>'version consolidée hors UE'!M101</f>
        <v>0</v>
      </c>
      <c r="V98" s="53">
        <f>'version consolidée hors UE'!AM101*W98</f>
        <v>0</v>
      </c>
      <c r="W98" s="231">
        <f t="shared" si="17"/>
        <v>0</v>
      </c>
      <c r="X98" s="53">
        <f>'version consolidée hors UE'!T101+'version consolidée hors UE'!AJ101+'version consolidée hors UE'!AL101</f>
        <v>0</v>
      </c>
      <c r="Y98" s="53">
        <f>'version consolidée hors UE'!AM101*Z98</f>
        <v>0</v>
      </c>
      <c r="Z98" s="231">
        <f t="shared" si="26"/>
        <v>0</v>
      </c>
      <c r="AA98" s="53">
        <f t="shared" si="19"/>
        <v>0</v>
      </c>
      <c r="AB98" s="53">
        <f t="shared" si="25"/>
        <v>0</v>
      </c>
      <c r="AC98" s="62">
        <f t="shared" si="21"/>
        <v>0</v>
      </c>
      <c r="AE98" s="62">
        <f t="shared" si="22"/>
        <v>0</v>
      </c>
      <c r="AF98" s="62">
        <f t="shared" si="23"/>
        <v>0</v>
      </c>
      <c r="AG98" s="62">
        <f t="shared" si="24"/>
        <v>0</v>
      </c>
    </row>
    <row r="99" spans="2:33">
      <c r="B99" s="86" t="s">
        <v>152</v>
      </c>
      <c r="C99" s="138">
        <f>'version consolidée hors UE'!AO102</f>
        <v>782279.85</v>
      </c>
      <c r="D99" s="22">
        <f t="shared" si="16"/>
        <v>3.6973136133924352E-3</v>
      </c>
      <c r="E99" s="86">
        <f t="shared" si="14"/>
        <v>14</v>
      </c>
      <c r="P99"/>
      <c r="Q99" s="86" t="s">
        <v>152</v>
      </c>
      <c r="R99" s="53">
        <f>'version consolidée hors UE'!F102</f>
        <v>626496.22</v>
      </c>
      <c r="S99" s="53">
        <f>'version consolidée hors UE'!AM102*T99</f>
        <v>0</v>
      </c>
      <c r="T99" s="62">
        <f t="shared" si="15"/>
        <v>0.80085946224998639</v>
      </c>
      <c r="U99" s="53">
        <f>'version consolidée hors UE'!M102</f>
        <v>30764.519999999997</v>
      </c>
      <c r="V99" s="53">
        <f>'version consolidée hors UE'!AM102*W99</f>
        <v>0</v>
      </c>
      <c r="W99" s="231">
        <f t="shared" si="17"/>
        <v>3.9326744770429661E-2</v>
      </c>
      <c r="X99" s="53">
        <f>'version consolidée hors UE'!T102+'version consolidée hors UE'!AJ102+'version consolidée hors UE'!AL102</f>
        <v>125019.10999999999</v>
      </c>
      <c r="Y99" s="53">
        <f>'version consolidée hors UE'!AM102*Z99</f>
        <v>0</v>
      </c>
      <c r="Z99" s="231">
        <f t="shared" si="26"/>
        <v>0.15981379297958395</v>
      </c>
      <c r="AA99" s="53">
        <f t="shared" si="19"/>
        <v>782279.85</v>
      </c>
      <c r="AB99" s="53">
        <f t="shared" si="25"/>
        <v>0</v>
      </c>
      <c r="AC99" s="62">
        <f t="shared" si="21"/>
        <v>1</v>
      </c>
      <c r="AE99" s="62">
        <f t="shared" si="22"/>
        <v>2.9457672291773131E-2</v>
      </c>
      <c r="AF99" s="62">
        <f t="shared" si="23"/>
        <v>3.8743511481402221E-3</v>
      </c>
      <c r="AG99" s="62">
        <f t="shared" si="24"/>
        <v>6.855156352458745E-4</v>
      </c>
    </row>
    <row r="100" spans="2:33">
      <c r="B100" s="86" t="s">
        <v>110</v>
      </c>
      <c r="C100" s="138">
        <f>'version consolidée hors UE'!AO103</f>
        <v>29928.639999999999</v>
      </c>
      <c r="D100" s="22">
        <f t="shared" si="16"/>
        <v>1.4145266313880049E-4</v>
      </c>
      <c r="E100" s="86">
        <f t="shared" ref="E100:E131" si="27">RANK(C100,$C$4:$C$189)</f>
        <v>67</v>
      </c>
      <c r="P100"/>
      <c r="Q100" s="86" t="s">
        <v>110</v>
      </c>
      <c r="R100" s="53">
        <f>'version consolidée hors UE'!F103</f>
        <v>15220.109999999999</v>
      </c>
      <c r="S100" s="53">
        <f>'version consolidée hors UE'!AM103*T100</f>
        <v>0</v>
      </c>
      <c r="T100" s="62">
        <f t="shared" si="15"/>
        <v>0.50854666299571238</v>
      </c>
      <c r="U100" s="53">
        <f>'version consolidée hors UE'!M103</f>
        <v>8037.51</v>
      </c>
      <c r="V100" s="53">
        <f>'version consolidée hors UE'!AM103*W100</f>
        <v>0</v>
      </c>
      <c r="W100" s="231">
        <f t="shared" si="17"/>
        <v>0.26855580474087698</v>
      </c>
      <c r="X100" s="53">
        <f>'version consolidée hors UE'!T103+'version consolidée hors UE'!AJ103+'version consolidée hors UE'!AL103</f>
        <v>6671.02</v>
      </c>
      <c r="Y100" s="53">
        <f>'version consolidée hors UE'!AM103*Z100</f>
        <v>0</v>
      </c>
      <c r="Z100" s="231">
        <f t="shared" si="26"/>
        <v>0.22289753226341058</v>
      </c>
      <c r="AA100" s="53">
        <f t="shared" si="19"/>
        <v>29928.639999999999</v>
      </c>
      <c r="AB100" s="53">
        <f t="shared" si="25"/>
        <v>0</v>
      </c>
      <c r="AC100" s="62">
        <f t="shared" si="21"/>
        <v>1</v>
      </c>
      <c r="AE100" s="62">
        <f t="shared" si="22"/>
        <v>7.1564519994189138E-4</v>
      </c>
      <c r="AF100" s="62">
        <f t="shared" si="23"/>
        <v>1.0122093924003536E-3</v>
      </c>
      <c r="AG100" s="62">
        <f t="shared" si="24"/>
        <v>3.6579115889066352E-5</v>
      </c>
    </row>
    <row r="101" spans="2:33">
      <c r="B101" s="86" t="s">
        <v>111</v>
      </c>
      <c r="C101" s="138">
        <f>'version consolidée hors UE'!AO104</f>
        <v>559471.32999999996</v>
      </c>
      <c r="D101" s="22">
        <f t="shared" si="16"/>
        <v>2.6442467675880585E-3</v>
      </c>
      <c r="E101" s="86">
        <f t="shared" si="27"/>
        <v>19</v>
      </c>
      <c r="P101"/>
      <c r="Q101" s="86" t="s">
        <v>111</v>
      </c>
      <c r="R101" s="53">
        <f>'version consolidée hors UE'!F104</f>
        <v>265236.61</v>
      </c>
      <c r="S101" s="53">
        <f>'version consolidée hors UE'!AM104*T101</f>
        <v>0</v>
      </c>
      <c r="T101" s="62">
        <f t="shared" si="15"/>
        <v>0.47408436460899617</v>
      </c>
      <c r="U101" s="53">
        <f>'version consolidée hors UE'!M104</f>
        <v>1488.1399999999999</v>
      </c>
      <c r="V101" s="53">
        <f>'version consolidée hors UE'!AM104*W101</f>
        <v>0</v>
      </c>
      <c r="W101" s="231">
        <f t="shared" si="17"/>
        <v>2.659903948965535E-3</v>
      </c>
      <c r="X101" s="53">
        <f>'version consolidée hors UE'!T104+'version consolidée hors UE'!AJ104+'version consolidée hors UE'!AL104</f>
        <v>292746.57999999996</v>
      </c>
      <c r="Y101" s="53">
        <f>'version consolidée hors UE'!AM104*Z101</f>
        <v>0</v>
      </c>
      <c r="Z101" s="231">
        <f t="shared" si="26"/>
        <v>0.5232557314420383</v>
      </c>
      <c r="AA101" s="53">
        <f t="shared" si="19"/>
        <v>559471.32999999996</v>
      </c>
      <c r="AB101" s="53">
        <f t="shared" si="25"/>
        <v>0</v>
      </c>
      <c r="AC101" s="62">
        <f t="shared" si="21"/>
        <v>1</v>
      </c>
      <c r="AE101" s="62">
        <f t="shared" si="22"/>
        <v>1.2471349208077961E-2</v>
      </c>
      <c r="AF101" s="62">
        <f t="shared" si="23"/>
        <v>1.8740994228394887E-4</v>
      </c>
      <c r="AG101" s="62">
        <f t="shared" si="24"/>
        <v>1.6052134570047507E-3</v>
      </c>
    </row>
    <row r="102" spans="2:33">
      <c r="B102" s="132" t="s">
        <v>204</v>
      </c>
      <c r="C102" s="138">
        <f>'version consolidée hors UE'!AO105</f>
        <v>49.99</v>
      </c>
      <c r="D102" s="22">
        <f t="shared" si="16"/>
        <v>2.3626929356992621E-7</v>
      </c>
      <c r="E102" s="86">
        <f t="shared" si="27"/>
        <v>165</v>
      </c>
      <c r="P102"/>
      <c r="Q102" s="132" t="s">
        <v>204</v>
      </c>
      <c r="R102" s="53">
        <f>'version consolidée hors UE'!F105</f>
        <v>49.99</v>
      </c>
      <c r="S102" s="53">
        <f>'version consolidée hors UE'!AM105*T102</f>
        <v>0</v>
      </c>
      <c r="T102" s="62">
        <f t="shared" si="15"/>
        <v>1</v>
      </c>
      <c r="U102" s="53">
        <f>'version consolidée hors UE'!M105</f>
        <v>0</v>
      </c>
      <c r="V102" s="53">
        <f>'version consolidée hors UE'!AM105*W102</f>
        <v>0</v>
      </c>
      <c r="W102" s="231">
        <f t="shared" si="17"/>
        <v>0</v>
      </c>
      <c r="X102" s="53">
        <f>'version consolidée hors UE'!T105+'version consolidée hors UE'!AJ105+'version consolidée hors UE'!AL105</f>
        <v>0</v>
      </c>
      <c r="Y102" s="53">
        <f>'version consolidée hors UE'!AM105*Z102</f>
        <v>0</v>
      </c>
      <c r="Z102" s="231">
        <f t="shared" si="26"/>
        <v>0</v>
      </c>
      <c r="AA102" s="53">
        <f t="shared" si="19"/>
        <v>49.99</v>
      </c>
      <c r="AB102" s="53">
        <f t="shared" si="25"/>
        <v>0</v>
      </c>
      <c r="AC102" s="62">
        <f t="shared" si="21"/>
        <v>1</v>
      </c>
      <c r="AE102" s="62">
        <f t="shared" si="22"/>
        <v>2.3505154394478852E-6</v>
      </c>
      <c r="AF102" s="62">
        <f t="shared" si="23"/>
        <v>0</v>
      </c>
      <c r="AG102" s="62">
        <f t="shared" si="24"/>
        <v>0</v>
      </c>
    </row>
    <row r="103" spans="2:33">
      <c r="B103" s="86" t="s">
        <v>112</v>
      </c>
      <c r="C103" s="138">
        <f>'version consolidée hors UE'!AO106</f>
        <v>1487.8899999999999</v>
      </c>
      <c r="D103" s="22">
        <f t="shared" si="16"/>
        <v>7.0322608363624219E-6</v>
      </c>
      <c r="E103" s="86">
        <f t="shared" si="27"/>
        <v>130</v>
      </c>
      <c r="P103"/>
      <c r="Q103" s="86" t="s">
        <v>112</v>
      </c>
      <c r="R103" s="53">
        <f>'version consolidée hors UE'!F106</f>
        <v>1292.1299999999999</v>
      </c>
      <c r="S103" s="53">
        <f>'version consolidée hors UE'!AM106*T103</f>
        <v>0</v>
      </c>
      <c r="T103" s="62">
        <f t="shared" si="15"/>
        <v>0.86843113402200434</v>
      </c>
      <c r="U103" s="53">
        <f>'version consolidée hors UE'!M106</f>
        <v>0</v>
      </c>
      <c r="V103" s="53">
        <f>'version consolidée hors UE'!AM106*W103</f>
        <v>0</v>
      </c>
      <c r="W103" s="231">
        <f t="shared" si="17"/>
        <v>0</v>
      </c>
      <c r="X103" s="53">
        <f>'version consolidée hors UE'!T106+'version consolidée hors UE'!AJ106+'version consolidée hors UE'!AL106</f>
        <v>195.76000000000002</v>
      </c>
      <c r="Y103" s="53">
        <f>'version consolidée hors UE'!AM106*Z103</f>
        <v>0</v>
      </c>
      <c r="Z103" s="231">
        <f t="shared" si="26"/>
        <v>0.13156886597799572</v>
      </c>
      <c r="AA103" s="53">
        <f t="shared" si="19"/>
        <v>1487.8899999999999</v>
      </c>
      <c r="AB103" s="53">
        <f t="shared" si="25"/>
        <v>0</v>
      </c>
      <c r="AC103" s="62">
        <f t="shared" si="21"/>
        <v>1</v>
      </c>
      <c r="AE103" s="62">
        <f t="shared" si="22"/>
        <v>6.075558141175826E-5</v>
      </c>
      <c r="AF103" s="62">
        <f t="shared" si="23"/>
        <v>0</v>
      </c>
      <c r="AG103" s="62">
        <f t="shared" si="24"/>
        <v>1.0734082233966664E-6</v>
      </c>
    </row>
    <row r="104" spans="2:33">
      <c r="B104" s="86" t="s">
        <v>113</v>
      </c>
      <c r="C104" s="138">
        <f>'version consolidée hors UE'!AO107</f>
        <v>7770.8099999999995</v>
      </c>
      <c r="D104" s="22">
        <f t="shared" si="16"/>
        <v>3.6727421267575879E-5</v>
      </c>
      <c r="E104" s="86">
        <f t="shared" si="27"/>
        <v>106</v>
      </c>
      <c r="P104"/>
      <c r="Q104" s="86" t="s">
        <v>113</v>
      </c>
      <c r="R104" s="53">
        <f>'version consolidée hors UE'!F107</f>
        <v>7670.2199999999993</v>
      </c>
      <c r="S104" s="53">
        <f>'version consolidée hors UE'!AM107*T104</f>
        <v>0</v>
      </c>
      <c r="T104" s="62">
        <f t="shared" si="15"/>
        <v>0.98705540349075582</v>
      </c>
      <c r="U104" s="53">
        <f>'version consolidée hors UE'!M107</f>
        <v>0</v>
      </c>
      <c r="V104" s="53">
        <f>'version consolidée hors UE'!AM107*W104</f>
        <v>0</v>
      </c>
      <c r="W104" s="231">
        <f t="shared" si="17"/>
        <v>0</v>
      </c>
      <c r="X104" s="53">
        <f>'version consolidée hors UE'!T107+'version consolidée hors UE'!AJ107+'version consolidée hors UE'!AL107</f>
        <v>100.59</v>
      </c>
      <c r="Y104" s="53">
        <f>'version consolidée hors UE'!AM107*Z104</f>
        <v>0</v>
      </c>
      <c r="Z104" s="231">
        <f t="shared" si="26"/>
        <v>1.2944596509244212E-2</v>
      </c>
      <c r="AA104" s="53">
        <f t="shared" si="19"/>
        <v>7770.8099999999995</v>
      </c>
      <c r="AB104" s="53">
        <f t="shared" si="25"/>
        <v>0</v>
      </c>
      <c r="AC104" s="62">
        <f t="shared" si="21"/>
        <v>1</v>
      </c>
      <c r="AE104" s="62">
        <f t="shared" si="22"/>
        <v>3.6065154098743662E-4</v>
      </c>
      <c r="AF104" s="62">
        <f t="shared" si="23"/>
        <v>0</v>
      </c>
      <c r="AG104" s="62">
        <f t="shared" si="24"/>
        <v>5.5156381891842393E-7</v>
      </c>
    </row>
    <row r="105" spans="2:33">
      <c r="B105" s="86" t="s">
        <v>114</v>
      </c>
      <c r="C105" s="138">
        <f>'version consolidée hors UE'!AO108</f>
        <v>5714.920000000001</v>
      </c>
      <c r="D105" s="22">
        <f t="shared" si="16"/>
        <v>2.7010604345041866E-5</v>
      </c>
      <c r="E105" s="86">
        <f t="shared" si="27"/>
        <v>110</v>
      </c>
      <c r="P105"/>
      <c r="Q105" s="86" t="s">
        <v>114</v>
      </c>
      <c r="R105" s="53">
        <f>'version consolidée hors UE'!F108</f>
        <v>5649.1100000000006</v>
      </c>
      <c r="S105" s="53">
        <f>'version consolidée hors UE'!AM108*T105</f>
        <v>0</v>
      </c>
      <c r="T105" s="62">
        <f t="shared" si="15"/>
        <v>0.98848452821736776</v>
      </c>
      <c r="U105" s="53">
        <f>'version consolidée hors UE'!M108</f>
        <v>0</v>
      </c>
      <c r="V105" s="53">
        <f>'version consolidée hors UE'!AM108*W105</f>
        <v>0</v>
      </c>
      <c r="W105" s="231">
        <f t="shared" si="17"/>
        <v>0</v>
      </c>
      <c r="X105" s="53">
        <f>'version consolidée hors UE'!T108+'version consolidée hors UE'!AJ108+'version consolidée hors UE'!AL108</f>
        <v>65.81</v>
      </c>
      <c r="Y105" s="53">
        <f>'version consolidée hors UE'!AM108*Z105</f>
        <v>0</v>
      </c>
      <c r="Z105" s="231">
        <f t="shared" si="26"/>
        <v>1.1515471782632127E-2</v>
      </c>
      <c r="AA105" s="53">
        <f t="shared" si="19"/>
        <v>5714.920000000001</v>
      </c>
      <c r="AB105" s="53">
        <f t="shared" si="25"/>
        <v>0</v>
      </c>
      <c r="AC105" s="62">
        <f t="shared" si="21"/>
        <v>0.99999999999999989</v>
      </c>
      <c r="AE105" s="62">
        <f t="shared" si="22"/>
        <v>2.6561952938866662E-4</v>
      </c>
      <c r="AF105" s="62">
        <f t="shared" si="23"/>
        <v>0</v>
      </c>
      <c r="AG105" s="62">
        <f t="shared" si="24"/>
        <v>3.608551041159308E-7</v>
      </c>
    </row>
    <row r="106" spans="2:33">
      <c r="B106" s="86" t="s">
        <v>115</v>
      </c>
      <c r="C106" s="138">
        <f>'version consolidée hors UE'!AO109</f>
        <v>9617.2100000000009</v>
      </c>
      <c r="D106" s="22">
        <f t="shared" si="16"/>
        <v>4.545411908008862E-5</v>
      </c>
      <c r="E106" s="86">
        <f t="shared" si="27"/>
        <v>99</v>
      </c>
      <c r="P106"/>
      <c r="Q106" s="86" t="s">
        <v>115</v>
      </c>
      <c r="R106" s="53">
        <f>'version consolidée hors UE'!F109</f>
        <v>9245.6200000000008</v>
      </c>
      <c r="S106" s="53">
        <f>'version consolidée hors UE'!AM109*T106</f>
        <v>0</v>
      </c>
      <c r="T106" s="62">
        <f t="shared" si="15"/>
        <v>0.96136197504265786</v>
      </c>
      <c r="U106" s="53">
        <f>'version consolidée hors UE'!M109</f>
        <v>0</v>
      </c>
      <c r="V106" s="53">
        <f>'version consolidée hors UE'!AM109*W106</f>
        <v>0</v>
      </c>
      <c r="W106" s="231">
        <f t="shared" si="17"/>
        <v>0</v>
      </c>
      <c r="X106" s="53">
        <f>'version consolidée hors UE'!T109+'version consolidée hors UE'!AJ109+'version consolidée hors UE'!AL109</f>
        <v>371.59000000000003</v>
      </c>
      <c r="Y106" s="53">
        <f>'version consolidée hors UE'!AM109*Z106</f>
        <v>0</v>
      </c>
      <c r="Z106" s="231">
        <f t="shared" si="26"/>
        <v>3.8638024957342094E-2</v>
      </c>
      <c r="AA106" s="53">
        <f t="shared" si="19"/>
        <v>9617.2100000000009</v>
      </c>
      <c r="AB106" s="53">
        <f t="shared" si="25"/>
        <v>0</v>
      </c>
      <c r="AC106" s="62">
        <f t="shared" si="21"/>
        <v>1</v>
      </c>
      <c r="AE106" s="62">
        <f t="shared" si="22"/>
        <v>4.3472639642464807E-4</v>
      </c>
      <c r="AF106" s="62">
        <f t="shared" si="23"/>
        <v>0</v>
      </c>
      <c r="AG106" s="62">
        <f t="shared" si="24"/>
        <v>2.0375345409274993E-6</v>
      </c>
    </row>
    <row r="107" spans="2:33">
      <c r="B107" s="86" t="s">
        <v>116</v>
      </c>
      <c r="C107" s="138">
        <f>'version consolidée hors UE'!AO110</f>
        <v>4046.2299999999996</v>
      </c>
      <c r="D107" s="22">
        <f t="shared" si="16"/>
        <v>1.9123822838996646E-5</v>
      </c>
      <c r="E107" s="86">
        <f t="shared" si="27"/>
        <v>115</v>
      </c>
      <c r="P107"/>
      <c r="Q107" s="86" t="s">
        <v>116</v>
      </c>
      <c r="R107" s="53">
        <f>'version consolidée hors UE'!F110</f>
        <v>317.79000000000002</v>
      </c>
      <c r="S107" s="53">
        <f>'version consolidée hors UE'!AM110*T107</f>
        <v>0</v>
      </c>
      <c r="T107" s="62">
        <f t="shared" si="15"/>
        <v>7.8539776532723066E-2</v>
      </c>
      <c r="U107" s="53">
        <f>'version consolidée hors UE'!M110</f>
        <v>0</v>
      </c>
      <c r="V107" s="53">
        <f>'version consolidée hors UE'!AM110*W107</f>
        <v>0</v>
      </c>
      <c r="W107" s="231">
        <f t="shared" si="17"/>
        <v>0</v>
      </c>
      <c r="X107" s="53">
        <f>'version consolidée hors UE'!T110+'version consolidée hors UE'!AJ110+'version consolidée hors UE'!AL110</f>
        <v>3728.4399999999996</v>
      </c>
      <c r="Y107" s="53">
        <f>'version consolidée hors UE'!AM110*Z107</f>
        <v>0</v>
      </c>
      <c r="Z107" s="231">
        <f t="shared" si="26"/>
        <v>0.92146022346727696</v>
      </c>
      <c r="AA107" s="53">
        <f t="shared" si="19"/>
        <v>4046.2299999999996</v>
      </c>
      <c r="AB107" s="53">
        <f t="shared" si="25"/>
        <v>0</v>
      </c>
      <c r="AC107" s="62">
        <f t="shared" si="21"/>
        <v>1</v>
      </c>
      <c r="AE107" s="62">
        <f t="shared" si="22"/>
        <v>1.4942394508944659E-5</v>
      </c>
      <c r="AF107" s="62">
        <f t="shared" si="23"/>
        <v>0</v>
      </c>
      <c r="AG107" s="62">
        <f t="shared" si="24"/>
        <v>2.044410582571039E-5</v>
      </c>
    </row>
    <row r="108" spans="2:33">
      <c r="B108" s="86" t="s">
        <v>117</v>
      </c>
      <c r="C108" s="138">
        <f>'version consolidée hors UE'!AO111</f>
        <v>20401.560000000001</v>
      </c>
      <c r="D108" s="22">
        <f t="shared" si="16"/>
        <v>9.6424528284146108E-5</v>
      </c>
      <c r="E108" s="86">
        <f t="shared" si="27"/>
        <v>74</v>
      </c>
      <c r="P108"/>
      <c r="Q108" s="86" t="s">
        <v>117</v>
      </c>
      <c r="R108" s="53">
        <f>'version consolidée hors UE'!F111</f>
        <v>20139.91</v>
      </c>
      <c r="S108" s="53">
        <f>'version consolidée hors UE'!AM111*T108</f>
        <v>0</v>
      </c>
      <c r="T108" s="62">
        <f t="shared" si="15"/>
        <v>0.9871750003431109</v>
      </c>
      <c r="U108" s="53">
        <f>'version consolidée hors UE'!M111</f>
        <v>0</v>
      </c>
      <c r="V108" s="53">
        <f>'version consolidée hors UE'!AM111*W108</f>
        <v>0</v>
      </c>
      <c r="W108" s="231">
        <f t="shared" si="17"/>
        <v>0</v>
      </c>
      <c r="X108" s="53">
        <f>'version consolidée hors UE'!T111+'version consolidée hors UE'!AJ111+'version consolidée hors UE'!AL111</f>
        <v>261.64999999999998</v>
      </c>
      <c r="Y108" s="53">
        <f>'version consolidée hors UE'!AM111*Z108</f>
        <v>0</v>
      </c>
      <c r="Z108" s="231">
        <f t="shared" si="26"/>
        <v>1.2824999656888981E-2</v>
      </c>
      <c r="AA108" s="53">
        <f t="shared" si="19"/>
        <v>20401.560000000001</v>
      </c>
      <c r="AB108" s="53">
        <f t="shared" si="25"/>
        <v>0</v>
      </c>
      <c r="AC108" s="62">
        <f t="shared" si="21"/>
        <v>0.99999999999999989</v>
      </c>
      <c r="AE108" s="62">
        <f t="shared" si="22"/>
        <v>9.4697278263834478E-4</v>
      </c>
      <c r="AF108" s="62">
        <f t="shared" si="23"/>
        <v>0</v>
      </c>
      <c r="AG108" s="62">
        <f t="shared" si="24"/>
        <v>1.4347019904563634E-6</v>
      </c>
    </row>
    <row r="109" spans="2:33">
      <c r="B109" s="132" t="s">
        <v>305</v>
      </c>
      <c r="C109" s="138">
        <f>'version consolidée hors UE'!AO112</f>
        <v>0</v>
      </c>
      <c r="D109" s="22">
        <f t="shared" si="16"/>
        <v>0</v>
      </c>
      <c r="E109" s="86">
        <f t="shared" si="27"/>
        <v>168</v>
      </c>
      <c r="P109"/>
      <c r="Q109" s="132" t="s">
        <v>305</v>
      </c>
      <c r="R109" s="53">
        <f>'version consolidée hors UE'!F112</f>
        <v>0</v>
      </c>
      <c r="S109" s="53">
        <f>'version consolidée hors UE'!AM112*T109</f>
        <v>0</v>
      </c>
      <c r="T109" s="62">
        <f t="shared" si="15"/>
        <v>0</v>
      </c>
      <c r="U109" s="53">
        <f>'version consolidée hors UE'!M112</f>
        <v>0</v>
      </c>
      <c r="V109" s="53">
        <f>'version consolidée hors UE'!AM112*W109</f>
        <v>0</v>
      </c>
      <c r="W109" s="231">
        <f t="shared" si="17"/>
        <v>0</v>
      </c>
      <c r="X109" s="53">
        <f>'version consolidée hors UE'!T112+'version consolidée hors UE'!AJ112+'version consolidée hors UE'!AL112</f>
        <v>0</v>
      </c>
      <c r="Y109" s="53">
        <f>'version consolidée hors UE'!AM112*Z109</f>
        <v>0</v>
      </c>
      <c r="Z109" s="231">
        <f t="shared" si="26"/>
        <v>0</v>
      </c>
      <c r="AA109" s="53">
        <f t="shared" si="19"/>
        <v>0</v>
      </c>
      <c r="AB109" s="53">
        <f t="shared" si="25"/>
        <v>0</v>
      </c>
      <c r="AC109" s="62">
        <f t="shared" si="21"/>
        <v>0</v>
      </c>
      <c r="AE109" s="62">
        <f t="shared" si="22"/>
        <v>0</v>
      </c>
      <c r="AF109" s="62">
        <f t="shared" si="23"/>
        <v>0</v>
      </c>
      <c r="AG109" s="62">
        <f t="shared" si="24"/>
        <v>0</v>
      </c>
    </row>
    <row r="110" spans="2:33">
      <c r="B110" s="86" t="s">
        <v>118</v>
      </c>
      <c r="C110" s="138">
        <f>'version consolidée hors UE'!AO113</f>
        <v>107694.45000000001</v>
      </c>
      <c r="D110" s="22">
        <f t="shared" si="16"/>
        <v>5.0899963238451172E-4</v>
      </c>
      <c r="E110" s="86">
        <f t="shared" si="27"/>
        <v>44</v>
      </c>
      <c r="P110"/>
      <c r="Q110" s="86" t="s">
        <v>118</v>
      </c>
      <c r="R110" s="53">
        <f>'version consolidée hors UE'!F113</f>
        <v>95881.440000000017</v>
      </c>
      <c r="S110" s="53">
        <f>'version consolidée hors UE'!AM113*T110</f>
        <v>0</v>
      </c>
      <c r="T110" s="62">
        <f t="shared" si="15"/>
        <v>0.89030994633428195</v>
      </c>
      <c r="U110" s="53">
        <f>'version consolidée hors UE'!M113</f>
        <v>0</v>
      </c>
      <c r="V110" s="53">
        <f>'version consolidée hors UE'!AM113*W110</f>
        <v>0</v>
      </c>
      <c r="W110" s="231">
        <f t="shared" si="17"/>
        <v>0</v>
      </c>
      <c r="X110" s="53">
        <f>'version consolidée hors UE'!T113+'version consolidée hors UE'!AJ113+'version consolidée hors UE'!AL113</f>
        <v>11813.01</v>
      </c>
      <c r="Y110" s="53">
        <f>'version consolidée hors UE'!AM113*Z110</f>
        <v>0</v>
      </c>
      <c r="Z110" s="231">
        <f t="shared" si="26"/>
        <v>0.10969005366571814</v>
      </c>
      <c r="AA110" s="53">
        <f t="shared" si="19"/>
        <v>107694.45000000001</v>
      </c>
      <c r="AB110" s="53">
        <f t="shared" si="25"/>
        <v>0</v>
      </c>
      <c r="AC110" s="62">
        <f t="shared" si="21"/>
        <v>1</v>
      </c>
      <c r="AE110" s="62">
        <f t="shared" si="22"/>
        <v>4.5083177650829384E-3</v>
      </c>
      <c r="AF110" s="62">
        <f t="shared" si="23"/>
        <v>0</v>
      </c>
      <c r="AG110" s="62">
        <f t="shared" si="24"/>
        <v>6.4774121766791244E-5</v>
      </c>
    </row>
    <row r="111" spans="2:33">
      <c r="B111" s="86" t="s">
        <v>119</v>
      </c>
      <c r="C111" s="138">
        <f>'version consolidée hors UE'!AO114</f>
        <v>14628.08</v>
      </c>
      <c r="D111" s="22">
        <f t="shared" si="16"/>
        <v>6.9137149987684855E-5</v>
      </c>
      <c r="E111" s="86">
        <f t="shared" si="27"/>
        <v>88</v>
      </c>
      <c r="P111"/>
      <c r="Q111" s="86" t="s">
        <v>119</v>
      </c>
      <c r="R111" s="53">
        <f>'version consolidée hors UE'!F114</f>
        <v>5261.65</v>
      </c>
      <c r="S111" s="53">
        <f>'version consolidée hors UE'!AM114*T111</f>
        <v>0</v>
      </c>
      <c r="T111" s="62">
        <f t="shared" si="15"/>
        <v>0.35969518897900477</v>
      </c>
      <c r="U111" s="53">
        <f>'version consolidée hors UE'!M114</f>
        <v>0</v>
      </c>
      <c r="V111" s="53">
        <f>'version consolidée hors UE'!AM114*W111</f>
        <v>0</v>
      </c>
      <c r="W111" s="231">
        <f t="shared" si="17"/>
        <v>0</v>
      </c>
      <c r="X111" s="53">
        <f>'version consolidée hors UE'!T114+'version consolidée hors UE'!AJ114+'version consolidée hors UE'!AL114</f>
        <v>9366.43</v>
      </c>
      <c r="Y111" s="53">
        <f>'version consolidée hors UE'!AM114*Z111</f>
        <v>0</v>
      </c>
      <c r="Z111" s="231">
        <f t="shared" si="26"/>
        <v>0.64030481102099523</v>
      </c>
      <c r="AA111" s="53">
        <f t="shared" si="19"/>
        <v>14628.08</v>
      </c>
      <c r="AB111" s="53">
        <f t="shared" si="25"/>
        <v>0</v>
      </c>
      <c r="AC111" s="62">
        <f t="shared" si="21"/>
        <v>1</v>
      </c>
      <c r="AE111" s="62">
        <f t="shared" si="22"/>
        <v>2.4740127149371804E-4</v>
      </c>
      <c r="AF111" s="62">
        <f t="shared" si="23"/>
        <v>0</v>
      </c>
      <c r="AG111" s="62">
        <f t="shared" si="24"/>
        <v>5.1358821954787686E-5</v>
      </c>
    </row>
    <row r="112" spans="2:33">
      <c r="B112" s="86" t="s">
        <v>120</v>
      </c>
      <c r="C112" s="138">
        <f>'version consolidée hors UE'!AO115</f>
        <v>19838.57</v>
      </c>
      <c r="D112" s="22">
        <f t="shared" si="16"/>
        <v>9.3763651116974007E-5</v>
      </c>
      <c r="E112" s="86">
        <f t="shared" si="27"/>
        <v>76</v>
      </c>
      <c r="P112"/>
      <c r="Q112" s="86" t="s">
        <v>120</v>
      </c>
      <c r="R112" s="53">
        <f>'version consolidée hors UE'!F115</f>
        <v>11182.869999999999</v>
      </c>
      <c r="S112" s="53">
        <f>'version consolidée hors UE'!AM115*T112</f>
        <v>0</v>
      </c>
      <c r="T112" s="62">
        <f t="shared" si="15"/>
        <v>0.56369335088164108</v>
      </c>
      <c r="U112" s="53">
        <f>'version consolidée hors UE'!M115</f>
        <v>0</v>
      </c>
      <c r="V112" s="53">
        <f>'version consolidée hors UE'!AM115*W112</f>
        <v>0</v>
      </c>
      <c r="W112" s="231">
        <f t="shared" si="17"/>
        <v>0</v>
      </c>
      <c r="X112" s="53">
        <f>'version consolidée hors UE'!T115+'version consolidée hors UE'!AJ115+'version consolidée hors UE'!AL115</f>
        <v>8655.7000000000007</v>
      </c>
      <c r="Y112" s="53">
        <f>'version consolidée hors UE'!AM115*Z112</f>
        <v>0</v>
      </c>
      <c r="Z112" s="231">
        <f t="shared" si="26"/>
        <v>0.43630664911835887</v>
      </c>
      <c r="AA112" s="53">
        <f t="shared" si="19"/>
        <v>19838.57</v>
      </c>
      <c r="AB112" s="53">
        <f t="shared" si="25"/>
        <v>0</v>
      </c>
      <c r="AC112" s="62">
        <f t="shared" si="21"/>
        <v>1</v>
      </c>
      <c r="AE112" s="62">
        <f t="shared" si="22"/>
        <v>5.2581533491375418E-4</v>
      </c>
      <c r="AF112" s="62">
        <f t="shared" si="23"/>
        <v>0</v>
      </c>
      <c r="AG112" s="62">
        <f t="shared" si="24"/>
        <v>4.746168552949798E-5</v>
      </c>
    </row>
    <row r="113" spans="2:33">
      <c r="B113" s="86" t="s">
        <v>166</v>
      </c>
      <c r="C113" s="138">
        <f>'version consolidée hors UE'!AO116</f>
        <v>7470.24</v>
      </c>
      <c r="D113" s="22">
        <f t="shared" si="16"/>
        <v>3.5306827917539617E-5</v>
      </c>
      <c r="E113" s="86">
        <f t="shared" si="27"/>
        <v>109</v>
      </c>
      <c r="P113"/>
      <c r="Q113" s="86" t="s">
        <v>166</v>
      </c>
      <c r="R113" s="53">
        <f>'version consolidée hors UE'!F116</f>
        <v>1289.31</v>
      </c>
      <c r="S113" s="53">
        <f>'version consolidée hors UE'!AM116*T113</f>
        <v>0</v>
      </c>
      <c r="T113" s="62">
        <f t="shared" si="15"/>
        <v>0.17259284842254063</v>
      </c>
      <c r="U113" s="53">
        <f>'version consolidée hors UE'!M116</f>
        <v>1059.08</v>
      </c>
      <c r="V113" s="53">
        <f>'version consolidée hors UE'!AM116*W113</f>
        <v>0</v>
      </c>
      <c r="W113" s="231">
        <f t="shared" si="17"/>
        <v>0.14177322281479576</v>
      </c>
      <c r="X113" s="53">
        <f>'version consolidée hors UE'!T116+'version consolidée hors UE'!AJ116+'version consolidée hors UE'!AL116</f>
        <v>5121.8500000000004</v>
      </c>
      <c r="Y113" s="53">
        <f>'version consolidée hors UE'!AM116*Z113</f>
        <v>0</v>
      </c>
      <c r="Z113" s="231">
        <f t="shared" si="26"/>
        <v>0.6856339287626636</v>
      </c>
      <c r="AA113" s="53">
        <f t="shared" si="19"/>
        <v>7470.24</v>
      </c>
      <c r="AB113" s="53">
        <f t="shared" si="25"/>
        <v>0</v>
      </c>
      <c r="AC113" s="62">
        <f t="shared" si="21"/>
        <v>1</v>
      </c>
      <c r="AE113" s="62">
        <f t="shared" si="22"/>
        <v>6.0622985821855426E-5</v>
      </c>
      <c r="AF113" s="62">
        <f t="shared" si="23"/>
        <v>1.3337597381569245E-4</v>
      </c>
      <c r="AG113" s="62">
        <f t="shared" si="24"/>
        <v>2.8084572481631671E-5</v>
      </c>
    </row>
    <row r="114" spans="2:33">
      <c r="B114" s="86" t="s">
        <v>220</v>
      </c>
      <c r="C114" s="138">
        <f>'version consolidée hors UE'!AO117</f>
        <v>15344338.890000001</v>
      </c>
      <c r="D114" s="22">
        <f t="shared" si="16"/>
        <v>7.2522426682093327E-2</v>
      </c>
      <c r="E114" s="86">
        <f t="shared" si="27"/>
        <v>4</v>
      </c>
      <c r="P114"/>
      <c r="Q114" s="86" t="s">
        <v>220</v>
      </c>
      <c r="R114" s="53">
        <f>'version consolidée hors UE'!F117</f>
        <v>689071.4</v>
      </c>
      <c r="S114" s="53">
        <f>'version consolidée hors UE'!AM117*T114</f>
        <v>0</v>
      </c>
      <c r="T114" s="62">
        <f t="shared" si="15"/>
        <v>4.490720681678062E-2</v>
      </c>
      <c r="U114" s="53">
        <f>'version consolidée hors UE'!M117</f>
        <v>80059.260000000009</v>
      </c>
      <c r="V114" s="53">
        <f>'version consolidée hors UE'!AM117*W114</f>
        <v>0</v>
      </c>
      <c r="W114" s="231">
        <f t="shared" si="17"/>
        <v>5.217511199011325E-3</v>
      </c>
      <c r="X114" s="53">
        <f>'version consolidée hors UE'!T117+'version consolidée hors UE'!AJ117+'version consolidée hors UE'!AL117</f>
        <v>14575208.23</v>
      </c>
      <c r="Y114" s="53">
        <f>'version consolidée hors UE'!AM117*Z114</f>
        <v>0</v>
      </c>
      <c r="Z114" s="231">
        <f t="shared" si="26"/>
        <v>0.94987528198420801</v>
      </c>
      <c r="AA114" s="53">
        <f t="shared" si="19"/>
        <v>15344338.890000001</v>
      </c>
      <c r="AB114" s="53">
        <f t="shared" si="25"/>
        <v>0</v>
      </c>
      <c r="AC114" s="62">
        <f t="shared" si="21"/>
        <v>1</v>
      </c>
      <c r="AE114" s="62">
        <f t="shared" si="22"/>
        <v>3.2399939279495291E-2</v>
      </c>
      <c r="AF114" s="62">
        <f t="shared" si="23"/>
        <v>1.0082318394704569E-2</v>
      </c>
      <c r="AG114" s="62">
        <f t="shared" si="24"/>
        <v>7.9920046852272011E-2</v>
      </c>
    </row>
    <row r="115" spans="2:33">
      <c r="B115" s="86" t="s">
        <v>121</v>
      </c>
      <c r="C115" s="138">
        <f>'version consolidée hors UE'!AO118</f>
        <v>53529.959999999992</v>
      </c>
      <c r="D115" s="22">
        <f t="shared" si="16"/>
        <v>2.5300031674387686E-4</v>
      </c>
      <c r="E115" s="86">
        <f t="shared" si="27"/>
        <v>57</v>
      </c>
      <c r="P115"/>
      <c r="Q115" s="86" t="s">
        <v>121</v>
      </c>
      <c r="R115" s="53">
        <f>'version consolidée hors UE'!F118</f>
        <v>44778.459999999992</v>
      </c>
      <c r="S115" s="53">
        <f>'version consolidée hors UE'!AM118*T115</f>
        <v>0</v>
      </c>
      <c r="T115" s="62">
        <f t="shared" si="15"/>
        <v>0.83651211396384373</v>
      </c>
      <c r="U115" s="53">
        <f>'version consolidée hors UE'!M118</f>
        <v>1155.8699999999999</v>
      </c>
      <c r="V115" s="53">
        <f>'version consolidée hors UE'!AM118*W115</f>
        <v>0</v>
      </c>
      <c r="W115" s="231">
        <f t="shared" si="17"/>
        <v>2.1592954674354327E-2</v>
      </c>
      <c r="X115" s="53">
        <f>'version consolidée hors UE'!T118+'version consolidée hors UE'!AJ118+'version consolidée hors UE'!AL118</f>
        <v>7595.63</v>
      </c>
      <c r="Y115" s="53">
        <f>'version consolidée hors UE'!AM118*Z115</f>
        <v>0</v>
      </c>
      <c r="Z115" s="231">
        <f t="shared" si="26"/>
        <v>0.1418949313618019</v>
      </c>
      <c r="AA115" s="53">
        <f t="shared" si="19"/>
        <v>53529.959999999992</v>
      </c>
      <c r="AB115" s="53">
        <f t="shared" si="25"/>
        <v>0</v>
      </c>
      <c r="AC115" s="62">
        <f t="shared" si="21"/>
        <v>0.99999999999999989</v>
      </c>
      <c r="AE115" s="62">
        <f t="shared" si="22"/>
        <v>2.1054703257591422E-3</v>
      </c>
      <c r="AF115" s="62">
        <f t="shared" si="23"/>
        <v>1.4556528954785702E-4</v>
      </c>
      <c r="AG115" s="62">
        <f t="shared" si="24"/>
        <v>4.1649017694515836E-5</v>
      </c>
    </row>
    <row r="116" spans="2:33">
      <c r="B116" s="86" t="s">
        <v>122</v>
      </c>
      <c r="C116" s="138">
        <f>'version consolidée hors UE'!AO119</f>
        <v>11873.37</v>
      </c>
      <c r="D116" s="22">
        <f t="shared" si="16"/>
        <v>5.6117478339555009E-5</v>
      </c>
      <c r="E116" s="86">
        <f t="shared" si="27"/>
        <v>95</v>
      </c>
      <c r="P116"/>
      <c r="Q116" s="86" t="s">
        <v>122</v>
      </c>
      <c r="R116" s="53">
        <f>'version consolidée hors UE'!F119</f>
        <v>10632.85</v>
      </c>
      <c r="S116" s="53">
        <f>'version consolidée hors UE'!AM119*T116</f>
        <v>0</v>
      </c>
      <c r="T116" s="62">
        <f t="shared" si="15"/>
        <v>0.89552081675210993</v>
      </c>
      <c r="U116" s="53">
        <f>'version consolidée hors UE'!M119</f>
        <v>0</v>
      </c>
      <c r="V116" s="53">
        <f>'version consolidée hors UE'!AM119*W116</f>
        <v>0</v>
      </c>
      <c r="W116" s="231">
        <f t="shared" si="17"/>
        <v>0</v>
      </c>
      <c r="X116" s="53">
        <f>'version consolidée hors UE'!T119+'version consolidée hors UE'!AJ119+'version consolidée hors UE'!AL119</f>
        <v>1240.52</v>
      </c>
      <c r="Y116" s="53">
        <f>'version consolidée hors UE'!AM119*Z116</f>
        <v>0</v>
      </c>
      <c r="Z116" s="231">
        <f t="shared" si="26"/>
        <v>0.10447918324789002</v>
      </c>
      <c r="AA116" s="53">
        <f t="shared" si="19"/>
        <v>11873.37</v>
      </c>
      <c r="AB116" s="53">
        <f t="shared" si="25"/>
        <v>0</v>
      </c>
      <c r="AC116" s="62">
        <f t="shared" si="21"/>
        <v>1</v>
      </c>
      <c r="AE116" s="62">
        <f t="shared" si="22"/>
        <v>4.9995355251717234E-4</v>
      </c>
      <c r="AF116" s="62">
        <f t="shared" si="23"/>
        <v>0</v>
      </c>
      <c r="AG116" s="62">
        <f t="shared" si="24"/>
        <v>6.802126937515491E-6</v>
      </c>
    </row>
    <row r="117" spans="2:33">
      <c r="B117" s="86" t="s">
        <v>123</v>
      </c>
      <c r="C117" s="138">
        <f>'version consolidée hors UE'!AO120</f>
        <v>1834.37</v>
      </c>
      <c r="D117" s="22">
        <f t="shared" si="16"/>
        <v>8.6698400489270953E-6</v>
      </c>
      <c r="E117" s="86">
        <f t="shared" si="27"/>
        <v>127</v>
      </c>
      <c r="P117"/>
      <c r="Q117" s="86" t="s">
        <v>123</v>
      </c>
      <c r="R117" s="53">
        <f>'version consolidée hors UE'!F120</f>
        <v>420.79</v>
      </c>
      <c r="S117" s="53">
        <f>'version consolidée hors UE'!AM120*T117</f>
        <v>0</v>
      </c>
      <c r="T117" s="62">
        <f t="shared" si="15"/>
        <v>0.22939210737201329</v>
      </c>
      <c r="U117" s="53">
        <f>'version consolidée hors UE'!M120</f>
        <v>0</v>
      </c>
      <c r="V117" s="53">
        <f>'version consolidée hors UE'!AM120*W117</f>
        <v>0</v>
      </c>
      <c r="W117" s="231">
        <f t="shared" si="17"/>
        <v>0</v>
      </c>
      <c r="X117" s="53">
        <f>'version consolidée hors UE'!T120+'version consolidée hors UE'!AJ120+'version consolidée hors UE'!AL120</f>
        <v>1413.58</v>
      </c>
      <c r="Y117" s="53">
        <f>'version consolidée hors UE'!AM120*Z117</f>
        <v>0</v>
      </c>
      <c r="Z117" s="231">
        <f t="shared" si="26"/>
        <v>0.77060789262798668</v>
      </c>
      <c r="AA117" s="53">
        <f t="shared" si="19"/>
        <v>1834.37</v>
      </c>
      <c r="AB117" s="53">
        <f t="shared" si="25"/>
        <v>0</v>
      </c>
      <c r="AC117" s="62">
        <f t="shared" si="21"/>
        <v>1</v>
      </c>
      <c r="AE117" s="62">
        <f t="shared" si="22"/>
        <v>1.9785424920289572E-5</v>
      </c>
      <c r="AF117" s="62">
        <f t="shared" si="23"/>
        <v>0</v>
      </c>
      <c r="AG117" s="62">
        <f t="shared" si="24"/>
        <v>7.7510645506184083E-6</v>
      </c>
    </row>
    <row r="118" spans="2:33">
      <c r="B118" s="86" t="s">
        <v>167</v>
      </c>
      <c r="C118" s="138">
        <f>'version consolidée hors UE'!AO121</f>
        <v>1192.0999999999999</v>
      </c>
      <c r="D118" s="22">
        <f t="shared" si="16"/>
        <v>5.6342593491640129E-6</v>
      </c>
      <c r="E118" s="86">
        <f t="shared" si="27"/>
        <v>135</v>
      </c>
      <c r="P118"/>
      <c r="Q118" s="86" t="s">
        <v>167</v>
      </c>
      <c r="R118" s="53">
        <f>'version consolidée hors UE'!F121</f>
        <v>1148.31</v>
      </c>
      <c r="S118" s="53">
        <f>'version consolidée hors UE'!AM121*T118</f>
        <v>0</v>
      </c>
      <c r="T118" s="62">
        <f t="shared" si="15"/>
        <v>0.96326650448787854</v>
      </c>
      <c r="U118" s="53">
        <f>'version consolidée hors UE'!M121</f>
        <v>0</v>
      </c>
      <c r="V118" s="53">
        <f>'version consolidée hors UE'!AM121*W118</f>
        <v>0</v>
      </c>
      <c r="W118" s="231">
        <f t="shared" si="17"/>
        <v>0</v>
      </c>
      <c r="X118" s="53">
        <f>'version consolidée hors UE'!T121+'version consolidée hors UE'!AJ121+'version consolidée hors UE'!AL121</f>
        <v>43.790000000000006</v>
      </c>
      <c r="Y118" s="53">
        <f>'version consolidée hors UE'!AM121*Z118</f>
        <v>0</v>
      </c>
      <c r="Z118" s="231">
        <f t="shared" si="26"/>
        <v>3.6733495512121475E-2</v>
      </c>
      <c r="AA118" s="53">
        <f t="shared" si="19"/>
        <v>1192.0999999999999</v>
      </c>
      <c r="AB118" s="53">
        <f t="shared" si="25"/>
        <v>0</v>
      </c>
      <c r="AC118" s="62">
        <f t="shared" si="21"/>
        <v>1</v>
      </c>
      <c r="AE118" s="62">
        <f t="shared" si="22"/>
        <v>5.399320632671336E-5</v>
      </c>
      <c r="AF118" s="62">
        <f t="shared" si="23"/>
        <v>0</v>
      </c>
      <c r="AG118" s="62">
        <f t="shared" si="24"/>
        <v>2.401131288441971E-7</v>
      </c>
    </row>
    <row r="119" spans="2:33">
      <c r="B119" s="86" t="s">
        <v>124</v>
      </c>
      <c r="C119" s="138">
        <f>'version consolidée hors UE'!AO122</f>
        <v>9287.869999999999</v>
      </c>
      <c r="D119" s="22">
        <f t="shared" si="16"/>
        <v>4.3897549183222847E-5</v>
      </c>
      <c r="E119" s="86">
        <f t="shared" si="27"/>
        <v>100</v>
      </c>
      <c r="P119"/>
      <c r="Q119" s="86" t="s">
        <v>124</v>
      </c>
      <c r="R119" s="53">
        <f>'version consolidée hors UE'!F122</f>
        <v>4274.0499999999993</v>
      </c>
      <c r="S119" s="53">
        <f>'version consolidée hors UE'!AM122*T119</f>
        <v>0</v>
      </c>
      <c r="T119" s="62">
        <f t="shared" si="15"/>
        <v>0.4601754761856055</v>
      </c>
      <c r="U119" s="53">
        <f>'version consolidée hors UE'!M122</f>
        <v>2454.04</v>
      </c>
      <c r="V119" s="53">
        <f>'version consolidée hors UE'!AM122*W119</f>
        <v>0</v>
      </c>
      <c r="W119" s="231">
        <f t="shared" si="17"/>
        <v>0.26421989110528038</v>
      </c>
      <c r="X119" s="53">
        <f>'version consolidée hors UE'!T122+'version consolidée hors UE'!AJ122+'version consolidée hors UE'!AL122</f>
        <v>2559.7800000000002</v>
      </c>
      <c r="Y119" s="53">
        <f>'version consolidée hors UE'!AM122*Z119</f>
        <v>0</v>
      </c>
      <c r="Z119" s="231">
        <f t="shared" si="26"/>
        <v>0.27560463270911417</v>
      </c>
      <c r="AA119" s="53">
        <f t="shared" si="19"/>
        <v>9287.869999999999</v>
      </c>
      <c r="AB119" s="53">
        <f t="shared" si="25"/>
        <v>0</v>
      </c>
      <c r="AC119" s="62">
        <f t="shared" si="21"/>
        <v>1</v>
      </c>
      <c r="AE119" s="62">
        <f t="shared" si="22"/>
        <v>2.0096460320008464E-4</v>
      </c>
      <c r="AF119" s="62">
        <f t="shared" si="23"/>
        <v>3.0905122821945643E-4</v>
      </c>
      <c r="AG119" s="62">
        <f t="shared" si="24"/>
        <v>1.4036007877433177E-5</v>
      </c>
    </row>
    <row r="120" spans="2:33">
      <c r="B120" s="132" t="s">
        <v>306</v>
      </c>
      <c r="C120" s="138">
        <f>'version consolidée hors UE'!AO123</f>
        <v>41.3</v>
      </c>
      <c r="D120" s="22">
        <f t="shared" si="16"/>
        <v>1.9519747598395582E-7</v>
      </c>
      <c r="E120" s="86">
        <f t="shared" si="27"/>
        <v>166</v>
      </c>
      <c r="P120"/>
      <c r="Q120" s="132" t="s">
        <v>306</v>
      </c>
      <c r="R120" s="53">
        <f>'version consolidée hors UE'!F123</f>
        <v>41.3</v>
      </c>
      <c r="S120" s="53">
        <f>'version consolidée hors UE'!AM123*T120</f>
        <v>0</v>
      </c>
      <c r="T120" s="62">
        <f t="shared" si="15"/>
        <v>1</v>
      </c>
      <c r="U120" s="53">
        <f>'version consolidée hors UE'!M123</f>
        <v>0</v>
      </c>
      <c r="V120" s="53">
        <f>'version consolidée hors UE'!AM123*W120</f>
        <v>0</v>
      </c>
      <c r="W120" s="231">
        <f t="shared" si="17"/>
        <v>0</v>
      </c>
      <c r="X120" s="53">
        <f>'version consolidée hors UE'!T123+'version consolidée hors UE'!AJ123+'version consolidée hors UE'!AL123</f>
        <v>0</v>
      </c>
      <c r="Y120" s="53">
        <f>'version consolidée hors UE'!AM123*Z120</f>
        <v>0</v>
      </c>
      <c r="Z120" s="231">
        <f t="shared" si="26"/>
        <v>0</v>
      </c>
      <c r="AA120" s="53">
        <f t="shared" si="19"/>
        <v>41.3</v>
      </c>
      <c r="AB120" s="53">
        <f t="shared" si="25"/>
        <v>0</v>
      </c>
      <c r="AC120" s="62">
        <f t="shared" si="21"/>
        <v>1</v>
      </c>
      <c r="AE120" s="62">
        <f t="shared" si="22"/>
        <v>1.9419141358111151E-6</v>
      </c>
      <c r="AF120" s="62">
        <f t="shared" si="23"/>
        <v>0</v>
      </c>
      <c r="AG120" s="62">
        <f t="shared" si="24"/>
        <v>0</v>
      </c>
    </row>
    <row r="121" spans="2:33">
      <c r="B121" s="86" t="s">
        <v>168</v>
      </c>
      <c r="C121" s="138">
        <f>'version consolidée hors UE'!AO124</f>
        <v>9673.1299999999974</v>
      </c>
      <c r="D121" s="22">
        <f t="shared" si="16"/>
        <v>4.5718415517304651E-5</v>
      </c>
      <c r="E121" s="86">
        <f t="shared" si="27"/>
        <v>98</v>
      </c>
      <c r="P121"/>
      <c r="Q121" s="86" t="s">
        <v>168</v>
      </c>
      <c r="R121" s="53">
        <f>'version consolidée hors UE'!F124</f>
        <v>9662.739999999998</v>
      </c>
      <c r="S121" s="53">
        <f>'version consolidée hors UE'!AM124*T121</f>
        <v>0</v>
      </c>
      <c r="T121" s="62">
        <f t="shared" si="15"/>
        <v>0.99892589058557058</v>
      </c>
      <c r="U121" s="53">
        <f>'version consolidée hors UE'!M124</f>
        <v>0</v>
      </c>
      <c r="V121" s="53">
        <f>'version consolidée hors UE'!AM124*W121</f>
        <v>0</v>
      </c>
      <c r="W121" s="231">
        <f t="shared" si="17"/>
        <v>0</v>
      </c>
      <c r="X121" s="53">
        <f>'version consolidée hors UE'!T124+'version consolidée hors UE'!AJ124+'version consolidée hors UE'!AL124</f>
        <v>10.39</v>
      </c>
      <c r="Y121" s="53">
        <f>'version consolidée hors UE'!AM124*Z121</f>
        <v>0</v>
      </c>
      <c r="Z121" s="231">
        <f t="shared" si="26"/>
        <v>1.074109414429456E-3</v>
      </c>
      <c r="AA121" s="53">
        <f t="shared" si="19"/>
        <v>9673.1299999999974</v>
      </c>
      <c r="AB121" s="53">
        <f t="shared" si="25"/>
        <v>0</v>
      </c>
      <c r="AC121" s="62">
        <f t="shared" si="21"/>
        <v>1</v>
      </c>
      <c r="AE121" s="62">
        <f t="shared" si="22"/>
        <v>4.5433925899921292E-4</v>
      </c>
      <c r="AF121" s="62">
        <f t="shared" si="23"/>
        <v>0</v>
      </c>
      <c r="AG121" s="62">
        <f t="shared" si="24"/>
        <v>5.6971349821676357E-8</v>
      </c>
    </row>
    <row r="122" spans="2:33">
      <c r="B122" s="86" t="s">
        <v>125</v>
      </c>
      <c r="C122" s="138">
        <f>'version consolidée hors UE'!AO125</f>
        <v>34434.86</v>
      </c>
      <c r="D122" s="22">
        <f t="shared" si="16"/>
        <v>1.6275055103779374E-4</v>
      </c>
      <c r="E122" s="86">
        <f t="shared" si="27"/>
        <v>63</v>
      </c>
      <c r="P122"/>
      <c r="Q122" s="86" t="s">
        <v>125</v>
      </c>
      <c r="R122" s="53">
        <f>'version consolidée hors UE'!F125</f>
        <v>15565.42</v>
      </c>
      <c r="S122" s="53">
        <f>'version consolidée hors UE'!AM125*T122</f>
        <v>0</v>
      </c>
      <c r="T122" s="62">
        <f t="shared" si="15"/>
        <v>0.45202506994365593</v>
      </c>
      <c r="U122" s="53">
        <f>'version consolidée hors UE'!M125</f>
        <v>0</v>
      </c>
      <c r="V122" s="53">
        <f>'version consolidée hors UE'!AM125*W122</f>
        <v>0</v>
      </c>
      <c r="W122" s="231">
        <f t="shared" si="17"/>
        <v>0</v>
      </c>
      <c r="X122" s="53">
        <f>'version consolidée hors UE'!T125+'version consolidée hors UE'!AJ125+'version consolidée hors UE'!AL125</f>
        <v>18869.439999999999</v>
      </c>
      <c r="Y122" s="53">
        <f>'version consolidée hors UE'!AM125*Z122</f>
        <v>0</v>
      </c>
      <c r="Z122" s="231">
        <f t="shared" si="26"/>
        <v>0.54797493005634401</v>
      </c>
      <c r="AA122" s="53">
        <f t="shared" si="19"/>
        <v>34434.86</v>
      </c>
      <c r="AB122" s="53">
        <f t="shared" si="25"/>
        <v>0</v>
      </c>
      <c r="AC122" s="62">
        <f t="shared" si="21"/>
        <v>1</v>
      </c>
      <c r="AE122" s="62">
        <f t="shared" si="22"/>
        <v>7.3188157694520709E-4</v>
      </c>
      <c r="AF122" s="62">
        <f t="shared" si="23"/>
        <v>0</v>
      </c>
      <c r="AG122" s="62">
        <f t="shared" si="24"/>
        <v>1.0346655122032075E-4</v>
      </c>
    </row>
    <row r="123" spans="2:33">
      <c r="B123" s="132" t="s">
        <v>307</v>
      </c>
      <c r="C123" s="138">
        <f>'version consolidée hors UE'!AO126</f>
        <v>29.240000000000002</v>
      </c>
      <c r="D123" s="22">
        <f t="shared" si="16"/>
        <v>1.3819792246418569E-7</v>
      </c>
      <c r="E123" s="86">
        <f t="shared" si="27"/>
        <v>167</v>
      </c>
      <c r="P123"/>
      <c r="Q123" s="132" t="s">
        <v>307</v>
      </c>
      <c r="R123" s="53">
        <f>'version consolidée hors UE'!F126</f>
        <v>29.240000000000002</v>
      </c>
      <c r="S123" s="53">
        <f>'version consolidée hors UE'!AM126*T123</f>
        <v>0</v>
      </c>
      <c r="T123" s="62">
        <f t="shared" si="15"/>
        <v>1</v>
      </c>
      <c r="U123" s="53">
        <f>'version consolidée hors UE'!M126</f>
        <v>0</v>
      </c>
      <c r="V123" s="53">
        <f>'version consolidée hors UE'!AM126*W123</f>
        <v>0</v>
      </c>
      <c r="W123" s="231">
        <f t="shared" si="17"/>
        <v>0</v>
      </c>
      <c r="X123" s="53">
        <f>'version consolidée hors UE'!T126+'version consolidée hors UE'!AJ126+'version consolidée hors UE'!AL126</f>
        <v>0</v>
      </c>
      <c r="Y123" s="53">
        <f>'version consolidée hors UE'!AM126*Z123</f>
        <v>0</v>
      </c>
      <c r="Z123" s="231">
        <f t="shared" si="26"/>
        <v>0</v>
      </c>
      <c r="AA123" s="53">
        <f t="shared" si="19"/>
        <v>29.240000000000002</v>
      </c>
      <c r="AB123" s="53">
        <f t="shared" si="25"/>
        <v>0</v>
      </c>
      <c r="AC123" s="62">
        <f t="shared" si="21"/>
        <v>1</v>
      </c>
      <c r="AE123" s="62">
        <f t="shared" si="22"/>
        <v>1.3748564002691771E-6</v>
      </c>
      <c r="AF123" s="62">
        <f t="shared" si="23"/>
        <v>0</v>
      </c>
      <c r="AG123" s="62">
        <f t="shared" si="24"/>
        <v>0</v>
      </c>
    </row>
    <row r="124" spans="2:33">
      <c r="B124" s="86" t="s">
        <v>126</v>
      </c>
      <c r="C124" s="138">
        <f>'version consolidée hors UE'!AO127</f>
        <v>28780.86</v>
      </c>
      <c r="D124" s="22">
        <f t="shared" si="16"/>
        <v>1.3602787478565607E-4</v>
      </c>
      <c r="E124" s="86">
        <f t="shared" si="27"/>
        <v>68</v>
      </c>
      <c r="P124"/>
      <c r="Q124" s="86" t="s">
        <v>126</v>
      </c>
      <c r="R124" s="53">
        <f>'version consolidée hors UE'!F127</f>
        <v>12832.939999999999</v>
      </c>
      <c r="S124" s="53">
        <f>'version consolidée hors UE'!AM127*T124</f>
        <v>0</v>
      </c>
      <c r="T124" s="62">
        <f t="shared" si="15"/>
        <v>0.44588452186626804</v>
      </c>
      <c r="U124" s="53">
        <f>'version consolidée hors UE'!M127</f>
        <v>0</v>
      </c>
      <c r="V124" s="53">
        <f>'version consolidée hors UE'!AM127*W124</f>
        <v>0</v>
      </c>
      <c r="W124" s="231">
        <f t="shared" si="17"/>
        <v>0</v>
      </c>
      <c r="X124" s="53">
        <f>'version consolidée hors UE'!T127+'version consolidée hors UE'!AJ127+'version consolidée hors UE'!AL127</f>
        <v>15947.920000000002</v>
      </c>
      <c r="Y124" s="53">
        <f>'version consolidée hors UE'!AM127*Z124</f>
        <v>0</v>
      </c>
      <c r="Z124" s="231">
        <f t="shared" si="26"/>
        <v>0.55411547813373196</v>
      </c>
      <c r="AA124" s="53">
        <f t="shared" si="19"/>
        <v>28780.86</v>
      </c>
      <c r="AB124" s="53">
        <f t="shared" si="25"/>
        <v>0</v>
      </c>
      <c r="AC124" s="62">
        <f t="shared" si="21"/>
        <v>1</v>
      </c>
      <c r="AE124" s="62">
        <f t="shared" si="22"/>
        <v>6.0340115230062691E-4</v>
      </c>
      <c r="AF124" s="62">
        <f t="shared" si="23"/>
        <v>0</v>
      </c>
      <c r="AG124" s="62">
        <f t="shared" si="24"/>
        <v>8.7447019176911339E-5</v>
      </c>
    </row>
    <row r="125" spans="2:33">
      <c r="B125" s="86" t="s">
        <v>169</v>
      </c>
      <c r="C125" s="138">
        <f>'version consolidée hors UE'!AO128</f>
        <v>247602.34</v>
      </c>
      <c r="D125" s="22">
        <f t="shared" si="16"/>
        <v>1.1702506492910717E-3</v>
      </c>
      <c r="E125" s="86">
        <f t="shared" si="27"/>
        <v>29</v>
      </c>
      <c r="P125"/>
      <c r="Q125" s="86" t="s">
        <v>169</v>
      </c>
      <c r="R125" s="53">
        <f>'version consolidée hors UE'!F128</f>
        <v>222448.98</v>
      </c>
      <c r="S125" s="53">
        <f>'version consolidée hors UE'!AM128*T125</f>
        <v>0</v>
      </c>
      <c r="T125" s="62">
        <f t="shared" si="15"/>
        <v>0.8984122686401107</v>
      </c>
      <c r="U125" s="53">
        <f>'version consolidée hors UE'!M128</f>
        <v>0</v>
      </c>
      <c r="V125" s="53">
        <f>'version consolidée hors UE'!AM128*W125</f>
        <v>0</v>
      </c>
      <c r="W125" s="231">
        <f t="shared" si="17"/>
        <v>0</v>
      </c>
      <c r="X125" s="53">
        <f>'version consolidée hors UE'!T128+'version consolidée hors UE'!AJ128+'version consolidée hors UE'!AL128</f>
        <v>25153.359999999997</v>
      </c>
      <c r="Y125" s="53">
        <f>'version consolidée hors UE'!AM128*Z125</f>
        <v>0</v>
      </c>
      <c r="Z125" s="231">
        <f t="shared" si="26"/>
        <v>0.1015877313598894</v>
      </c>
      <c r="AA125" s="53">
        <f t="shared" si="19"/>
        <v>247602.34</v>
      </c>
      <c r="AB125" s="53">
        <f t="shared" si="25"/>
        <v>0</v>
      </c>
      <c r="AC125" s="62">
        <f t="shared" si="21"/>
        <v>1</v>
      </c>
      <c r="AE125" s="62">
        <f t="shared" si="22"/>
        <v>1.0459487137016081E-2</v>
      </c>
      <c r="AF125" s="62">
        <f t="shared" si="23"/>
        <v>0</v>
      </c>
      <c r="AG125" s="62">
        <f t="shared" si="24"/>
        <v>1.3792308679023686E-4</v>
      </c>
    </row>
    <row r="126" spans="2:33">
      <c r="B126" s="86" t="s">
        <v>127</v>
      </c>
      <c r="C126" s="138">
        <f>'version consolidée hors UE'!AO129</f>
        <v>122038.48000000001</v>
      </c>
      <c r="D126" s="22">
        <f t="shared" si="16"/>
        <v>5.7679426801255393E-4</v>
      </c>
      <c r="E126" s="86">
        <f t="shared" si="27"/>
        <v>43</v>
      </c>
      <c r="P126"/>
      <c r="Q126" s="86" t="s">
        <v>127</v>
      </c>
      <c r="R126" s="53">
        <f>'version consolidée hors UE'!F129</f>
        <v>102362.97</v>
      </c>
      <c r="S126" s="53">
        <f>'version consolidée hors UE'!AM129*T126</f>
        <v>0</v>
      </c>
      <c r="T126" s="62">
        <f t="shared" si="15"/>
        <v>0.8387761794476627</v>
      </c>
      <c r="U126" s="53">
        <f>'version consolidée hors UE'!M129</f>
        <v>5599.74</v>
      </c>
      <c r="V126" s="53">
        <f>'version consolidée hors UE'!AM129*W126</f>
        <v>0</v>
      </c>
      <c r="W126" s="231">
        <f t="shared" si="17"/>
        <v>4.5885035605163216E-2</v>
      </c>
      <c r="X126" s="53">
        <f>'version consolidée hors UE'!T129+'version consolidée hors UE'!AJ129+'version consolidée hors UE'!AL129</f>
        <v>14075.77</v>
      </c>
      <c r="Y126" s="53">
        <f>'version consolidée hors UE'!AM129*Z126</f>
        <v>0</v>
      </c>
      <c r="Z126" s="231">
        <f>IFERROR(X126/AA126,0)</f>
        <v>0.11533878494717403</v>
      </c>
      <c r="AA126" s="53">
        <f t="shared" si="19"/>
        <v>122038.48000000001</v>
      </c>
      <c r="AB126" s="53">
        <f t="shared" si="25"/>
        <v>0</v>
      </c>
      <c r="AC126" s="62">
        <f t="shared" si="21"/>
        <v>1</v>
      </c>
      <c r="AE126" s="62">
        <f t="shared" si="22"/>
        <v>4.8130774437435625E-3</v>
      </c>
      <c r="AF126" s="62">
        <f t="shared" si="23"/>
        <v>7.0520713790713234E-4</v>
      </c>
      <c r="AG126" s="62">
        <f t="shared" si="24"/>
        <v>7.7181483799755281E-5</v>
      </c>
    </row>
    <row r="127" spans="2:33">
      <c r="B127" s="132" t="s">
        <v>308</v>
      </c>
      <c r="C127" s="138">
        <f>'version consolidée hors UE'!AO130</f>
        <v>0</v>
      </c>
      <c r="D127" s="22">
        <f t="shared" si="16"/>
        <v>0</v>
      </c>
      <c r="E127" s="86">
        <f t="shared" si="27"/>
        <v>168</v>
      </c>
      <c r="P127"/>
      <c r="Q127" s="132" t="s">
        <v>308</v>
      </c>
      <c r="R127" s="53">
        <f>'version consolidée hors UE'!F130</f>
        <v>0</v>
      </c>
      <c r="S127" s="53">
        <f>'version consolidée hors UE'!AM130*T127</f>
        <v>0</v>
      </c>
      <c r="T127" s="62">
        <f t="shared" si="15"/>
        <v>0</v>
      </c>
      <c r="U127" s="53">
        <f>'version consolidée hors UE'!M130</f>
        <v>0</v>
      </c>
      <c r="V127" s="53">
        <f>'version consolidée hors UE'!AM130*W127</f>
        <v>0</v>
      </c>
      <c r="W127" s="231">
        <f t="shared" si="17"/>
        <v>0</v>
      </c>
      <c r="X127" s="53">
        <f>'version consolidée hors UE'!T130+'version consolidée hors UE'!AJ130+'version consolidée hors UE'!AL130</f>
        <v>0</v>
      </c>
      <c r="Y127" s="53">
        <f>'version consolidée hors UE'!AM130*Z127</f>
        <v>0</v>
      </c>
      <c r="Z127" s="231">
        <f t="shared" ref="Z127:Z164" si="28">IFERROR(X127/AA127,0)</f>
        <v>0</v>
      </c>
      <c r="AA127" s="53">
        <f t="shared" si="19"/>
        <v>0</v>
      </c>
      <c r="AB127" s="53">
        <f t="shared" si="25"/>
        <v>0</v>
      </c>
      <c r="AC127" s="62">
        <f t="shared" si="21"/>
        <v>0</v>
      </c>
      <c r="AE127" s="62">
        <f t="shared" si="22"/>
        <v>0</v>
      </c>
      <c r="AF127" s="62">
        <f t="shared" si="23"/>
        <v>0</v>
      </c>
      <c r="AG127" s="62">
        <f t="shared" si="24"/>
        <v>0</v>
      </c>
    </row>
    <row r="128" spans="2:33">
      <c r="B128" s="86" t="s">
        <v>35</v>
      </c>
      <c r="C128" s="138">
        <f>'version consolidée hors UE'!AO131</f>
        <v>62124590.950000003</v>
      </c>
      <c r="D128" s="22">
        <f t="shared" si="16"/>
        <v>0.29362138861926645</v>
      </c>
      <c r="E128" s="86">
        <f t="shared" si="27"/>
        <v>2</v>
      </c>
      <c r="P128"/>
      <c r="Q128" s="86" t="s">
        <v>35</v>
      </c>
      <c r="R128" s="53">
        <f>'version consolidée hors UE'!F131</f>
        <v>2391271.2599999998</v>
      </c>
      <c r="S128" s="53">
        <f>'version consolidée hors UE'!AM131*T128</f>
        <v>122089.65981204873</v>
      </c>
      <c r="T128" s="62">
        <f t="shared" si="15"/>
        <v>3.8491541327404101E-2</v>
      </c>
      <c r="U128" s="53">
        <f>'version consolidée hors UE'!M131</f>
        <v>83880.209999999992</v>
      </c>
      <c r="V128" s="53">
        <f>'version consolidée hors UE'!AM131*W128</f>
        <v>4282.6200754251558</v>
      </c>
      <c r="W128" s="231">
        <f t="shared" si="17"/>
        <v>1.3501933568868028E-3</v>
      </c>
      <c r="X128" s="53">
        <f>'version consolidée hors UE'!T131+'version consolidée hors UE'!AJ131+'version consolidée hors UE'!AL131</f>
        <v>59649439.480000004</v>
      </c>
      <c r="Y128" s="53">
        <f>'version consolidée hors UE'!AM131*Z128</f>
        <v>3045484.5905238665</v>
      </c>
      <c r="Z128" s="231">
        <f t="shared" si="28"/>
        <v>0.96015826531570914</v>
      </c>
      <c r="AA128" s="53">
        <f t="shared" si="19"/>
        <v>62124590.950000003</v>
      </c>
      <c r="AB128" s="53">
        <f t="shared" si="25"/>
        <v>3171856.8704113401</v>
      </c>
      <c r="AC128" s="62">
        <f t="shared" si="21"/>
        <v>1</v>
      </c>
      <c r="AE128" s="62">
        <f t="shared" si="22"/>
        <v>0.11243688770830161</v>
      </c>
      <c r="AF128" s="62">
        <f t="shared" si="23"/>
        <v>1.0563512381137199E-2</v>
      </c>
      <c r="AG128" s="62">
        <f t="shared" si="24"/>
        <v>0.32707498395399354</v>
      </c>
    </row>
    <row r="129" spans="2:33">
      <c r="B129" s="86" t="s">
        <v>128</v>
      </c>
      <c r="C129" s="138">
        <f>'version consolidée hors UE'!AO132</f>
        <v>35026</v>
      </c>
      <c r="D129" s="22">
        <f t="shared" si="16"/>
        <v>1.6554447442649001E-4</v>
      </c>
      <c r="E129" s="86">
        <f t="shared" si="27"/>
        <v>62</v>
      </c>
      <c r="P129"/>
      <c r="Q129" s="86" t="s">
        <v>128</v>
      </c>
      <c r="R129" s="53">
        <f>'version consolidée hors UE'!F132</f>
        <v>13093.78</v>
      </c>
      <c r="S129" s="53">
        <f>'version consolidée hors UE'!AM132*T129</f>
        <v>0</v>
      </c>
      <c r="T129" s="62">
        <f t="shared" si="15"/>
        <v>0.37383029749329072</v>
      </c>
      <c r="U129" s="53">
        <f>'version consolidée hors UE'!M132</f>
        <v>0</v>
      </c>
      <c r="V129" s="53">
        <f>'version consolidée hors UE'!AM132*W129</f>
        <v>0</v>
      </c>
      <c r="W129" s="231">
        <f t="shared" si="17"/>
        <v>0</v>
      </c>
      <c r="X129" s="53">
        <f>'version consolidée hors UE'!T132+'version consolidée hors UE'!AJ132+'version consolidée hors UE'!AL132</f>
        <v>21932.22</v>
      </c>
      <c r="Y129" s="53">
        <f>'version consolidée hors UE'!AM132*Z129</f>
        <v>0</v>
      </c>
      <c r="Z129" s="231">
        <f t="shared" si="28"/>
        <v>0.62616970250670934</v>
      </c>
      <c r="AA129" s="53">
        <f t="shared" si="19"/>
        <v>35026</v>
      </c>
      <c r="AB129" s="53">
        <f t="shared" si="25"/>
        <v>0</v>
      </c>
      <c r="AC129" s="62">
        <f t="shared" si="21"/>
        <v>1</v>
      </c>
      <c r="AE129" s="62">
        <f t="shared" si="22"/>
        <v>6.1566577416951251E-4</v>
      </c>
      <c r="AF129" s="62">
        <f t="shared" si="23"/>
        <v>0</v>
      </c>
      <c r="AG129" s="62">
        <f t="shared" si="24"/>
        <v>1.2026065235668591E-4</v>
      </c>
    </row>
    <row r="130" spans="2:33">
      <c r="B130" s="86" t="s">
        <v>36</v>
      </c>
      <c r="C130" s="138">
        <f>'version consolidée hors UE'!AO133</f>
        <v>5415332.9399999995</v>
      </c>
      <c r="D130" s="22">
        <f t="shared" si="16"/>
        <v>2.5594656694934017E-2</v>
      </c>
      <c r="E130" s="86">
        <f t="shared" si="27"/>
        <v>7</v>
      </c>
      <c r="P130"/>
      <c r="Q130" s="86" t="s">
        <v>36</v>
      </c>
      <c r="R130" s="53">
        <f>'version consolidée hors UE'!F133</f>
        <v>8906.11</v>
      </c>
      <c r="S130" s="53">
        <f>'version consolidée hors UE'!AM133*T130</f>
        <v>0</v>
      </c>
      <c r="T130" s="62">
        <f t="shared" si="15"/>
        <v>1.6446098695457128E-3</v>
      </c>
      <c r="U130" s="53">
        <f>'version consolidée hors UE'!M133</f>
        <v>125666.19</v>
      </c>
      <c r="V130" s="53">
        <f>'version consolidée hors UE'!AM133*W130</f>
        <v>0</v>
      </c>
      <c r="W130" s="231">
        <f t="shared" si="17"/>
        <v>2.3205625839138159E-2</v>
      </c>
      <c r="X130" s="53">
        <f>'version consolidée hors UE'!T133+'version consolidée hors UE'!AJ133+'version consolidée hors UE'!AL133</f>
        <v>5280760.6399999997</v>
      </c>
      <c r="Y130" s="53">
        <f>'version consolidée hors UE'!AM133*Z130</f>
        <v>0</v>
      </c>
      <c r="Z130" s="231">
        <f t="shared" si="28"/>
        <v>0.97514976429131617</v>
      </c>
      <c r="AA130" s="53">
        <f t="shared" si="19"/>
        <v>5415332.9399999995</v>
      </c>
      <c r="AB130" s="53">
        <f t="shared" si="25"/>
        <v>0</v>
      </c>
      <c r="AC130" s="62">
        <f t="shared" si="21"/>
        <v>1</v>
      </c>
      <c r="AE130" s="62">
        <f t="shared" si="22"/>
        <v>4.1876273375517515E-4</v>
      </c>
      <c r="AF130" s="62">
        <f t="shared" si="23"/>
        <v>1.5825858733011514E-2</v>
      </c>
      <c r="AG130" s="62">
        <f t="shared" si="24"/>
        <v>2.8955925095859432E-2</v>
      </c>
    </row>
    <row r="131" spans="2:33">
      <c r="B131" s="86" t="s">
        <v>221</v>
      </c>
      <c r="C131" s="138">
        <f>'version consolidée hors UE'!AO134</f>
        <v>8306.17</v>
      </c>
      <c r="D131" s="22">
        <f t="shared" si="16"/>
        <v>3.9257709905415364E-5</v>
      </c>
      <c r="E131" s="86">
        <f t="shared" si="27"/>
        <v>105</v>
      </c>
      <c r="P131"/>
      <c r="Q131" s="86" t="s">
        <v>221</v>
      </c>
      <c r="R131" s="53">
        <f>'version consolidée hors UE'!F134</f>
        <v>7921.97</v>
      </c>
      <c r="S131" s="53">
        <f>'version consolidée hors UE'!AM134*T131</f>
        <v>0</v>
      </c>
      <c r="T131" s="62">
        <f t="shared" si="15"/>
        <v>0.9537452279450096</v>
      </c>
      <c r="U131" s="53">
        <f>'version consolidée hors UE'!M134</f>
        <v>0</v>
      </c>
      <c r="V131" s="53">
        <f>'version consolidée hors UE'!AM134*W131</f>
        <v>0</v>
      </c>
      <c r="W131" s="231">
        <f t="shared" si="17"/>
        <v>0</v>
      </c>
      <c r="X131" s="53">
        <f>'version consolidée hors UE'!T134+'version consolidée hors UE'!AJ134+'version consolidée hors UE'!AL134</f>
        <v>384.2</v>
      </c>
      <c r="Y131" s="53">
        <f>'version consolidée hors UE'!AM134*Z131</f>
        <v>0</v>
      </c>
      <c r="Z131" s="231">
        <f t="shared" si="28"/>
        <v>4.6254772054990442E-2</v>
      </c>
      <c r="AA131" s="53">
        <f t="shared" si="19"/>
        <v>8306.17</v>
      </c>
      <c r="AB131" s="53">
        <f t="shared" si="25"/>
        <v>0</v>
      </c>
      <c r="AC131" s="62">
        <f t="shared" si="21"/>
        <v>1</v>
      </c>
      <c r="AE131" s="62">
        <f t="shared" si="22"/>
        <v>3.7248875366759277E-4</v>
      </c>
      <c r="AF131" s="62">
        <f t="shared" si="23"/>
        <v>0</v>
      </c>
      <c r="AG131" s="62">
        <f t="shared" si="24"/>
        <v>2.1066787874386961E-6</v>
      </c>
    </row>
    <row r="132" spans="2:33">
      <c r="B132" s="86" t="s">
        <v>222</v>
      </c>
      <c r="C132" s="138">
        <f>'version consolidée hors UE'!AO135</f>
        <v>12327.46</v>
      </c>
      <c r="D132" s="22">
        <f t="shared" si="16"/>
        <v>5.8263658045839615E-5</v>
      </c>
      <c r="E132" s="86">
        <f t="shared" ref="E132:E164" si="29">RANK(C132,$C$4:$C$189)</f>
        <v>93</v>
      </c>
      <c r="P132"/>
      <c r="Q132" s="86" t="s">
        <v>222</v>
      </c>
      <c r="R132" s="53">
        <f>'version consolidée hors UE'!F135</f>
        <v>4409.9400000000005</v>
      </c>
      <c r="S132" s="53">
        <f>'version consolidée hors UE'!AM135*T132</f>
        <v>0</v>
      </c>
      <c r="T132" s="62">
        <f t="shared" ref="T132:T189" si="30">IFERROR(R132/AA132,0)</f>
        <v>0.35773306098742164</v>
      </c>
      <c r="U132" s="53">
        <f>'version consolidée hors UE'!M135</f>
        <v>765</v>
      </c>
      <c r="V132" s="53">
        <f>'version consolidée hors UE'!AM135*W132</f>
        <v>0</v>
      </c>
      <c r="W132" s="231">
        <f t="shared" si="17"/>
        <v>6.2056579376449005E-2</v>
      </c>
      <c r="X132" s="53">
        <f>'version consolidée hors UE'!T135+'version consolidée hors UE'!AJ135+'version consolidée hors UE'!AL135</f>
        <v>7152.5199999999995</v>
      </c>
      <c r="Y132" s="53">
        <f>'version consolidée hors UE'!AM135*Z132</f>
        <v>0</v>
      </c>
      <c r="Z132" s="231">
        <f t="shared" si="28"/>
        <v>0.58021035963612944</v>
      </c>
      <c r="AA132" s="53">
        <f t="shared" si="19"/>
        <v>12327.46</v>
      </c>
      <c r="AB132" s="53">
        <f t="shared" si="25"/>
        <v>0</v>
      </c>
      <c r="AC132" s="62">
        <f t="shared" si="21"/>
        <v>1</v>
      </c>
      <c r="AE132" s="62">
        <f t="shared" si="22"/>
        <v>2.0735411196316878E-4</v>
      </c>
      <c r="AF132" s="62">
        <f t="shared" si="23"/>
        <v>9.6340805197912092E-5</v>
      </c>
      <c r="AG132" s="62">
        <f t="shared" si="24"/>
        <v>3.9219318481861074E-5</v>
      </c>
    </row>
    <row r="133" spans="2:33">
      <c r="B133" s="86" t="s">
        <v>223</v>
      </c>
      <c r="C133" s="138">
        <f>'version consolidée hors UE'!AO136</f>
        <v>708288.32999999984</v>
      </c>
      <c r="D133" s="22">
        <f t="shared" ref="D133:D155" si="31">C133/$C$190</f>
        <v>3.3476051884961536E-3</v>
      </c>
      <c r="E133" s="86">
        <f t="shared" si="29"/>
        <v>15</v>
      </c>
      <c r="P133"/>
      <c r="Q133" s="86" t="s">
        <v>223</v>
      </c>
      <c r="R133" s="53">
        <f>'version consolidée hors UE'!F136</f>
        <v>668900.17999999993</v>
      </c>
      <c r="S133" s="53">
        <f>'version consolidée hors UE'!AM136*T133</f>
        <v>0</v>
      </c>
      <c r="T133" s="62">
        <f t="shared" si="30"/>
        <v>0.94438966684655112</v>
      </c>
      <c r="U133" s="53">
        <f>'version consolidée hors UE'!M136</f>
        <v>22.57</v>
      </c>
      <c r="V133" s="53">
        <f>'version consolidée hors UE'!AM136*W133</f>
        <v>0</v>
      </c>
      <c r="W133" s="231">
        <f t="shared" ref="W133:W189" si="32">IFERROR(U133/AA133,0)</f>
        <v>3.1865553961619002E-5</v>
      </c>
      <c r="X133" s="53">
        <f>'version consolidée hors UE'!T136+'version consolidée hors UE'!AJ136+'version consolidée hors UE'!AL136</f>
        <v>39365.579999999994</v>
      </c>
      <c r="Y133" s="53">
        <f>'version consolidée hors UE'!AM136*Z133</f>
        <v>0</v>
      </c>
      <c r="Z133" s="231">
        <f t="shared" si="28"/>
        <v>5.5578467599487348E-2</v>
      </c>
      <c r="AA133" s="53">
        <f t="shared" ref="AA133:AA189" si="33">R133+U133+X133</f>
        <v>708288.32999999984</v>
      </c>
      <c r="AB133" s="53">
        <f t="shared" ref="AB133:AB189" si="34">S133+V133+Y133</f>
        <v>0</v>
      </c>
      <c r="AC133" s="62">
        <f t="shared" ref="AC133:AC189" si="35">T133+W133+Z133</f>
        <v>1</v>
      </c>
      <c r="AE133" s="62">
        <f t="shared" ref="AE133:AE155" si="36">R133/$R$190</f>
        <v>3.1451494309651315E-2</v>
      </c>
      <c r="AF133" s="62">
        <f t="shared" ref="AF133:AF155" si="37">U133/$U$190</f>
        <v>2.8423685925710794E-6</v>
      </c>
      <c r="AG133" s="62">
        <f t="shared" ref="AG133:AG155" si="38">X133/$X$190</f>
        <v>2.1585276507345388E-4</v>
      </c>
    </row>
    <row r="134" spans="2:33">
      <c r="B134" s="132" t="s">
        <v>272</v>
      </c>
      <c r="C134" s="138">
        <f>'version consolidée hors UE'!AO137</f>
        <v>2084.9900000000002</v>
      </c>
      <c r="D134" s="22">
        <f t="shared" si="31"/>
        <v>9.854353158638937E-6</v>
      </c>
      <c r="E134" s="86">
        <f t="shared" si="29"/>
        <v>126</v>
      </c>
      <c r="P134"/>
      <c r="Q134" s="132" t="s">
        <v>272</v>
      </c>
      <c r="R134" s="53">
        <f>'version consolidée hors UE'!F137</f>
        <v>1931.3700000000003</v>
      </c>
      <c r="S134" s="53">
        <f>'version consolidée hors UE'!AM137*T134</f>
        <v>0</v>
      </c>
      <c r="T134" s="62">
        <f t="shared" si="30"/>
        <v>0.92632098954911057</v>
      </c>
      <c r="U134" s="53">
        <f>'version consolidée hors UE'!M137</f>
        <v>15.1</v>
      </c>
      <c r="V134" s="53">
        <f>'version consolidée hors UE'!AM137*W134</f>
        <v>0</v>
      </c>
      <c r="W134" s="231">
        <f t="shared" si="32"/>
        <v>7.2422409699806701E-3</v>
      </c>
      <c r="X134" s="53">
        <f>'version consolidée hors UE'!T137+'version consolidée hors UE'!AJ137+'version consolidée hors UE'!AL137</f>
        <v>138.52000000000001</v>
      </c>
      <c r="Y134" s="53">
        <f>'version consolidée hors UE'!AM137*Z134</f>
        <v>0</v>
      </c>
      <c r="Z134" s="231">
        <f t="shared" si="28"/>
        <v>6.6436769480908778E-2</v>
      </c>
      <c r="AA134" s="53">
        <f t="shared" si="33"/>
        <v>2084.9900000000002</v>
      </c>
      <c r="AB134" s="53">
        <f t="shared" si="34"/>
        <v>0</v>
      </c>
      <c r="AC134" s="62">
        <f t="shared" si="35"/>
        <v>1</v>
      </c>
      <c r="AE134" s="62">
        <f t="shared" si="36"/>
        <v>9.0812462578244898E-5</v>
      </c>
      <c r="AF134" s="62">
        <f t="shared" si="37"/>
        <v>1.9016289653444085E-6</v>
      </c>
      <c r="AG134" s="62">
        <f t="shared" si="38"/>
        <v>7.5954488713172366E-7</v>
      </c>
    </row>
    <row r="135" spans="2:33">
      <c r="B135" s="86" t="s">
        <v>129</v>
      </c>
      <c r="C135" s="138">
        <f>'version consolidée hors UE'!AO138</f>
        <v>161188.29999999999</v>
      </c>
      <c r="D135" s="22">
        <f t="shared" si="31"/>
        <v>7.6182928131100888E-4</v>
      </c>
      <c r="E135" s="86">
        <f t="shared" si="29"/>
        <v>37</v>
      </c>
      <c r="P135"/>
      <c r="Q135" s="86" t="s">
        <v>129</v>
      </c>
      <c r="R135" s="53">
        <f>'version consolidée hors UE'!F138</f>
        <v>126060.3</v>
      </c>
      <c r="S135" s="53">
        <f>'version consolidée hors UE'!AM138*T135</f>
        <v>0</v>
      </c>
      <c r="T135" s="62">
        <f t="shared" si="30"/>
        <v>0.78206854964038963</v>
      </c>
      <c r="U135" s="53">
        <f>'version consolidée hors UE'!M138</f>
        <v>0</v>
      </c>
      <c r="V135" s="53">
        <f>'version consolidée hors UE'!AM138*W135</f>
        <v>0</v>
      </c>
      <c r="W135" s="231">
        <f t="shared" si="32"/>
        <v>0</v>
      </c>
      <c r="X135" s="53">
        <f>'version consolidée hors UE'!T138+'version consolidée hors UE'!AJ138+'version consolidée hors UE'!AL138</f>
        <v>35128</v>
      </c>
      <c r="Y135" s="53">
        <f>'version consolidée hors UE'!AM138*Z135</f>
        <v>0</v>
      </c>
      <c r="Z135" s="231">
        <f t="shared" si="28"/>
        <v>0.21793145035961048</v>
      </c>
      <c r="AA135" s="53">
        <f t="shared" si="33"/>
        <v>161188.29999999999</v>
      </c>
      <c r="AB135" s="53">
        <f t="shared" si="34"/>
        <v>0</v>
      </c>
      <c r="AC135" s="62">
        <f t="shared" si="35"/>
        <v>1</v>
      </c>
      <c r="AE135" s="62">
        <f t="shared" si="36"/>
        <v>5.9273190928472146E-3</v>
      </c>
      <c r="AF135" s="62">
        <f t="shared" si="37"/>
        <v>0</v>
      </c>
      <c r="AG135" s="62">
        <f t="shared" si="38"/>
        <v>1.9261689860787748E-4</v>
      </c>
    </row>
    <row r="136" spans="2:33">
      <c r="B136" s="86" t="s">
        <v>130</v>
      </c>
      <c r="C136" s="138">
        <f>'version consolidée hors UE'!AO139</f>
        <v>2502.3599999999997</v>
      </c>
      <c r="D136" s="22">
        <f t="shared" si="31"/>
        <v>1.1826981985549919E-5</v>
      </c>
      <c r="E136" s="86">
        <f t="shared" si="29"/>
        <v>122</v>
      </c>
      <c r="P136"/>
      <c r="Q136" s="86" t="s">
        <v>130</v>
      </c>
      <c r="R136" s="53">
        <f>'version consolidée hors UE'!F139</f>
        <v>2378.66</v>
      </c>
      <c r="S136" s="53">
        <f>'version consolidée hors UE'!AM139*T136</f>
        <v>0</v>
      </c>
      <c r="T136" s="62">
        <f t="shared" si="30"/>
        <v>0.95056666506817566</v>
      </c>
      <c r="U136" s="53">
        <f>'version consolidée hors UE'!M139</f>
        <v>0</v>
      </c>
      <c r="V136" s="53">
        <f>'version consolidée hors UE'!AM139*W136</f>
        <v>0</v>
      </c>
      <c r="W136" s="231">
        <f t="shared" si="32"/>
        <v>0</v>
      </c>
      <c r="X136" s="53">
        <f>'version consolidée hors UE'!T139+'version consolidée hors UE'!AJ139+'version consolidée hors UE'!AL139</f>
        <v>123.70000000000002</v>
      </c>
      <c r="Y136" s="53">
        <f>'version consolidée hors UE'!AM139*Z136</f>
        <v>0</v>
      </c>
      <c r="Z136" s="231">
        <f t="shared" si="28"/>
        <v>4.943333493182437E-2</v>
      </c>
      <c r="AA136" s="53">
        <f t="shared" si="33"/>
        <v>2502.3599999999997</v>
      </c>
      <c r="AB136" s="53">
        <f t="shared" si="34"/>
        <v>0</v>
      </c>
      <c r="AC136" s="62">
        <f t="shared" si="35"/>
        <v>1</v>
      </c>
      <c r="AE136" s="62">
        <f t="shared" si="36"/>
        <v>1.118439098859193E-4</v>
      </c>
      <c r="AF136" s="62">
        <f t="shared" si="37"/>
        <v>0</v>
      </c>
      <c r="AG136" s="62">
        <f t="shared" si="38"/>
        <v>6.7828257679897646E-7</v>
      </c>
    </row>
    <row r="137" spans="2:33">
      <c r="B137" s="132" t="s">
        <v>309</v>
      </c>
      <c r="C137" s="138">
        <f>'version consolidée hors UE'!AO140</f>
        <v>0</v>
      </c>
      <c r="D137" s="22">
        <f t="shared" si="31"/>
        <v>0</v>
      </c>
      <c r="E137" s="86">
        <f t="shared" si="29"/>
        <v>168</v>
      </c>
      <c r="P137"/>
      <c r="Q137" s="132" t="s">
        <v>309</v>
      </c>
      <c r="R137" s="53">
        <f>'version consolidée hors UE'!F140</f>
        <v>0</v>
      </c>
      <c r="S137" s="53">
        <f>'version consolidée hors UE'!AM140*T137</f>
        <v>0</v>
      </c>
      <c r="T137" s="62">
        <f t="shared" si="30"/>
        <v>0</v>
      </c>
      <c r="U137" s="53">
        <f>'version consolidée hors UE'!M140</f>
        <v>0</v>
      </c>
      <c r="V137" s="53">
        <f>'version consolidée hors UE'!AM140*W137</f>
        <v>0</v>
      </c>
      <c r="W137" s="231">
        <f t="shared" si="32"/>
        <v>0</v>
      </c>
      <c r="X137" s="53">
        <f>'version consolidée hors UE'!T140+'version consolidée hors UE'!AJ140+'version consolidée hors UE'!AL140</f>
        <v>0</v>
      </c>
      <c r="Y137" s="53">
        <f>'version consolidée hors UE'!AM140*Z137</f>
        <v>0</v>
      </c>
      <c r="Z137" s="231">
        <f t="shared" si="28"/>
        <v>0</v>
      </c>
      <c r="AA137" s="53">
        <f t="shared" si="33"/>
        <v>0</v>
      </c>
      <c r="AB137" s="53">
        <f t="shared" si="34"/>
        <v>0</v>
      </c>
      <c r="AC137" s="62">
        <f t="shared" si="35"/>
        <v>0</v>
      </c>
      <c r="AE137" s="62">
        <f t="shared" si="36"/>
        <v>0</v>
      </c>
      <c r="AF137" s="62">
        <f t="shared" si="37"/>
        <v>0</v>
      </c>
      <c r="AG137" s="62">
        <f t="shared" si="38"/>
        <v>0</v>
      </c>
    </row>
    <row r="138" spans="2:33">
      <c r="B138" s="132" t="s">
        <v>365</v>
      </c>
      <c r="C138" s="138">
        <f>'version consolidée hors UE'!AO141</f>
        <v>54.25</v>
      </c>
      <c r="D138" s="22">
        <f t="shared" ref="D138" si="39">C138/$C$190</f>
        <v>2.5640346421621317E-7</v>
      </c>
      <c r="E138" s="86">
        <f t="shared" ref="E138" si="40">RANK(C138,$C$4:$C$189)</f>
        <v>162</v>
      </c>
      <c r="P138"/>
      <c r="Q138" s="132" t="s">
        <v>365</v>
      </c>
      <c r="R138" s="53">
        <f>'version consolidée hors UE'!F141</f>
        <v>54.25</v>
      </c>
      <c r="S138" s="53">
        <f>'version consolidée hors UE'!AM141*T138</f>
        <v>0</v>
      </c>
      <c r="T138" s="62">
        <f t="shared" ref="T138" si="41">IFERROR(R138/AA138,0)</f>
        <v>1</v>
      </c>
      <c r="U138" s="53">
        <f>'version consolidée hors UE'!M141</f>
        <v>0</v>
      </c>
      <c r="V138" s="53">
        <f>'version consolidée hors UE'!AM141*W138</f>
        <v>0</v>
      </c>
      <c r="W138" s="231">
        <f t="shared" ref="W138" si="42">IFERROR(U138/AA138,0)</f>
        <v>0</v>
      </c>
      <c r="X138" s="53">
        <f>'version consolidée hors UE'!T141+'version consolidée hors UE'!AJ141+'version consolidée hors UE'!AL141</f>
        <v>0</v>
      </c>
      <c r="Y138" s="53">
        <f>'version consolidée hors UE'!AM141*Z138</f>
        <v>0</v>
      </c>
      <c r="Z138" s="231">
        <f t="shared" ref="Z138" si="43">IFERROR(X138/AA138,0)</f>
        <v>0</v>
      </c>
      <c r="AA138" s="53">
        <f t="shared" ref="AA138" si="44">R138+U138+X138</f>
        <v>54.25</v>
      </c>
      <c r="AB138" s="53">
        <f t="shared" ref="AB138" si="45">S138+V138+Y138</f>
        <v>0</v>
      </c>
      <c r="AC138" s="62">
        <f t="shared" ref="AC138" si="46">T138+W138+Z138</f>
        <v>1</v>
      </c>
      <c r="AE138" s="62">
        <f t="shared" ref="AE138" si="47">R138/$R$190</f>
        <v>2.5508194156840922E-6</v>
      </c>
      <c r="AF138" s="62">
        <f t="shared" ref="AF138" si="48">U138/$U$190</f>
        <v>0</v>
      </c>
      <c r="AG138" s="62">
        <f t="shared" ref="AG138" si="49">X138/$X$190</f>
        <v>0</v>
      </c>
    </row>
    <row r="139" spans="2:33">
      <c r="B139" s="86" t="s">
        <v>132</v>
      </c>
      <c r="C139" s="138">
        <f>'version consolidée hors UE'!AO142</f>
        <v>28100.35</v>
      </c>
      <c r="D139" s="22">
        <f t="shared" si="31"/>
        <v>1.3281155918319013E-4</v>
      </c>
      <c r="E139" s="86">
        <f t="shared" si="29"/>
        <v>69</v>
      </c>
      <c r="P139"/>
      <c r="Q139" s="86" t="s">
        <v>132</v>
      </c>
      <c r="R139" s="53">
        <f>'version consolidée hors UE'!F142</f>
        <v>3557.6</v>
      </c>
      <c r="S139" s="53">
        <f>'version consolidée hors UE'!AM142*T139</f>
        <v>0</v>
      </c>
      <c r="T139" s="62">
        <f t="shared" si="30"/>
        <v>0.12660340529566358</v>
      </c>
      <c r="U139" s="53">
        <f>'version consolidée hors UE'!M142</f>
        <v>12551.51</v>
      </c>
      <c r="V139" s="53">
        <f>'version consolidée hors UE'!AM142*W139</f>
        <v>0</v>
      </c>
      <c r="W139" s="231">
        <f t="shared" si="32"/>
        <v>0.44666739026382235</v>
      </c>
      <c r="X139" s="53">
        <f>'version consolidée hors UE'!T142+'version consolidée hors UE'!AJ142+'version consolidée hors UE'!AL142</f>
        <v>11991.239999999998</v>
      </c>
      <c r="Y139" s="53">
        <f>'version consolidée hors UE'!AM142*Z139</f>
        <v>0</v>
      </c>
      <c r="Z139" s="231">
        <f t="shared" si="28"/>
        <v>0.42672920444051404</v>
      </c>
      <c r="AA139" s="53">
        <f t="shared" si="33"/>
        <v>28100.35</v>
      </c>
      <c r="AB139" s="53">
        <f t="shared" si="34"/>
        <v>0</v>
      </c>
      <c r="AC139" s="62">
        <f t="shared" si="35"/>
        <v>1</v>
      </c>
      <c r="AE139" s="62">
        <f t="shared" si="36"/>
        <v>1.6727733001359863E-4</v>
      </c>
      <c r="AF139" s="62">
        <f t="shared" si="37"/>
        <v>1.5806831109145695E-3</v>
      </c>
      <c r="AG139" s="62">
        <f t="shared" si="38"/>
        <v>6.575140797263506E-5</v>
      </c>
    </row>
    <row r="140" spans="2:33">
      <c r="B140" s="132" t="s">
        <v>310</v>
      </c>
      <c r="C140" s="138">
        <f>'version consolidée hors UE'!AO143</f>
        <v>4815.59</v>
      </c>
      <c r="D140" s="22">
        <f t="shared" si="31"/>
        <v>2.2760072963040627E-5</v>
      </c>
      <c r="E140" s="86">
        <f t="shared" si="29"/>
        <v>111</v>
      </c>
      <c r="P140"/>
      <c r="Q140" s="132" t="s">
        <v>310</v>
      </c>
      <c r="R140" s="53">
        <f>'version consolidée hors UE'!F143</f>
        <v>4815.59</v>
      </c>
      <c r="S140" s="53">
        <f>'version consolidée hors UE'!AM143*T140</f>
        <v>0</v>
      </c>
      <c r="T140" s="62">
        <f t="shared" si="30"/>
        <v>1</v>
      </c>
      <c r="U140" s="53">
        <f>'version consolidée hors UE'!M143</f>
        <v>0</v>
      </c>
      <c r="V140" s="53">
        <f>'version consolidée hors UE'!AM143*W140</f>
        <v>0</v>
      </c>
      <c r="W140" s="231">
        <f t="shared" si="32"/>
        <v>0</v>
      </c>
      <c r="X140" s="53">
        <f>'version consolidée hors UE'!T143+'version consolidée hors UE'!AJ143+'version consolidée hors UE'!AL143</f>
        <v>0</v>
      </c>
      <c r="Y140" s="53">
        <f>'version consolidée hors UE'!AM143*Z140</f>
        <v>0</v>
      </c>
      <c r="Z140" s="231">
        <f t="shared" si="28"/>
        <v>0</v>
      </c>
      <c r="AA140" s="53">
        <f t="shared" si="33"/>
        <v>4815.59</v>
      </c>
      <c r="AB140" s="53">
        <f t="shared" si="34"/>
        <v>0</v>
      </c>
      <c r="AC140" s="62">
        <f t="shared" si="35"/>
        <v>1</v>
      </c>
      <c r="AE140" s="62">
        <f t="shared" si="36"/>
        <v>2.2642765843270337E-4</v>
      </c>
      <c r="AF140" s="62">
        <f t="shared" si="37"/>
        <v>0</v>
      </c>
      <c r="AG140" s="62">
        <f t="shared" si="38"/>
        <v>0</v>
      </c>
    </row>
    <row r="141" spans="2:33">
      <c r="B141" s="86" t="s">
        <v>131</v>
      </c>
      <c r="C141" s="138">
        <f>'version consolidée hors UE'!AO144</f>
        <v>225.4</v>
      </c>
      <c r="D141" s="22">
        <f t="shared" si="31"/>
        <v>1.0653150384209115E-6</v>
      </c>
      <c r="E141" s="86">
        <f t="shared" si="29"/>
        <v>153</v>
      </c>
      <c r="P141"/>
      <c r="Q141" s="86" t="s">
        <v>131</v>
      </c>
      <c r="R141" s="53">
        <f>'version consolidée hors UE'!F144</f>
        <v>206.34</v>
      </c>
      <c r="S141" s="53">
        <f>'version consolidée hors UE'!AM144*T141</f>
        <v>0</v>
      </c>
      <c r="T141" s="62">
        <f t="shared" si="30"/>
        <v>0.91543921916592719</v>
      </c>
      <c r="U141" s="53">
        <f>'version consolidée hors UE'!M144</f>
        <v>0</v>
      </c>
      <c r="V141" s="53">
        <f>'version consolidée hors UE'!AM144*W141</f>
        <v>0</v>
      </c>
      <c r="W141" s="231">
        <f t="shared" si="32"/>
        <v>0</v>
      </c>
      <c r="X141" s="53">
        <f>'version consolidée hors UE'!T144+'version consolidée hors UE'!AJ144+'version consolidée hors UE'!AL144</f>
        <v>19.060000000000002</v>
      </c>
      <c r="Y141" s="53">
        <f>'version consolidée hors UE'!AM144*Z141</f>
        <v>0</v>
      </c>
      <c r="Z141" s="231">
        <f t="shared" si="28"/>
        <v>8.4560780834072771E-2</v>
      </c>
      <c r="AA141" s="53">
        <f t="shared" si="33"/>
        <v>225.4</v>
      </c>
      <c r="AB141" s="53">
        <f t="shared" si="34"/>
        <v>0</v>
      </c>
      <c r="AC141" s="62">
        <f t="shared" si="35"/>
        <v>1</v>
      </c>
      <c r="AE141" s="62">
        <f t="shared" si="36"/>
        <v>9.7020475250185356E-6</v>
      </c>
      <c r="AF141" s="62">
        <f t="shared" si="37"/>
        <v>0</v>
      </c>
      <c r="AG141" s="62">
        <f t="shared" si="38"/>
        <v>1.0451144635237261E-7</v>
      </c>
    </row>
    <row r="142" spans="2:33">
      <c r="B142" s="132" t="s">
        <v>311</v>
      </c>
      <c r="C142" s="138">
        <f>'version consolidée hors UE'!AO145</f>
        <v>326.86</v>
      </c>
      <c r="D142" s="22">
        <f t="shared" si="31"/>
        <v>1.5448485956444504E-6</v>
      </c>
      <c r="E142" s="86">
        <f t="shared" si="29"/>
        <v>148</v>
      </c>
      <c r="P142"/>
      <c r="Q142" s="132" t="s">
        <v>311</v>
      </c>
      <c r="R142" s="53">
        <f>'version consolidée hors UE'!F145</f>
        <v>326.86</v>
      </c>
      <c r="S142" s="53">
        <f>'version consolidée hors UE'!AM145*T142</f>
        <v>0</v>
      </c>
      <c r="T142" s="62">
        <f t="shared" si="30"/>
        <v>1</v>
      </c>
      <c r="U142" s="53">
        <f>'version consolidée hors UE'!M145</f>
        <v>0</v>
      </c>
      <c r="V142" s="53">
        <f>'version consolidée hors UE'!AM145*W142</f>
        <v>0</v>
      </c>
      <c r="W142" s="231">
        <f t="shared" si="32"/>
        <v>0</v>
      </c>
      <c r="X142" s="53">
        <f>'version consolidée hors UE'!T145+'version consolidée hors UE'!AJ145+'version consolidée hors UE'!AL145</f>
        <v>0</v>
      </c>
      <c r="Y142" s="53">
        <f>'version consolidée hors UE'!AM145*Z142</f>
        <v>0</v>
      </c>
      <c r="Z142" s="231">
        <f t="shared" si="28"/>
        <v>0</v>
      </c>
      <c r="AA142" s="53">
        <f t="shared" si="33"/>
        <v>326.86</v>
      </c>
      <c r="AB142" s="53">
        <f t="shared" si="34"/>
        <v>0</v>
      </c>
      <c r="AC142" s="62">
        <f t="shared" si="35"/>
        <v>1</v>
      </c>
      <c r="AE142" s="62">
        <f t="shared" si="36"/>
        <v>1.5368863303419399E-5</v>
      </c>
      <c r="AF142" s="62">
        <f t="shared" si="37"/>
        <v>0</v>
      </c>
      <c r="AG142" s="62">
        <f t="shared" si="38"/>
        <v>0</v>
      </c>
    </row>
    <row r="143" spans="2:33">
      <c r="B143" s="132" t="s">
        <v>312</v>
      </c>
      <c r="C143" s="138">
        <f>'version consolidée hors UE'!AO146</f>
        <v>0</v>
      </c>
      <c r="D143" s="22">
        <f t="shared" si="31"/>
        <v>0</v>
      </c>
      <c r="E143" s="86">
        <f t="shared" si="29"/>
        <v>168</v>
      </c>
      <c r="P143"/>
      <c r="Q143" s="132" t="s">
        <v>312</v>
      </c>
      <c r="R143" s="53">
        <f>'version consolidée hors UE'!F146</f>
        <v>0</v>
      </c>
      <c r="S143" s="53">
        <f>'version consolidée hors UE'!AM146*T143</f>
        <v>0</v>
      </c>
      <c r="T143" s="62">
        <f t="shared" si="30"/>
        <v>0</v>
      </c>
      <c r="U143" s="53">
        <f>'version consolidée hors UE'!M146</f>
        <v>0</v>
      </c>
      <c r="V143" s="53">
        <f>'version consolidée hors UE'!AM146*W143</f>
        <v>0</v>
      </c>
      <c r="W143" s="231">
        <f t="shared" si="32"/>
        <v>0</v>
      </c>
      <c r="X143" s="53">
        <f>'version consolidée hors UE'!T146+'version consolidée hors UE'!AJ146+'version consolidée hors UE'!AL146</f>
        <v>0</v>
      </c>
      <c r="Y143" s="53">
        <f>'version consolidée hors UE'!AM146*Z143</f>
        <v>0</v>
      </c>
      <c r="Z143" s="231">
        <f t="shared" si="28"/>
        <v>0</v>
      </c>
      <c r="AA143" s="53">
        <f t="shared" si="33"/>
        <v>0</v>
      </c>
      <c r="AB143" s="53">
        <f t="shared" si="34"/>
        <v>0</v>
      </c>
      <c r="AC143" s="62">
        <f t="shared" si="35"/>
        <v>0</v>
      </c>
      <c r="AE143" s="62">
        <f t="shared" si="36"/>
        <v>0</v>
      </c>
      <c r="AF143" s="62">
        <f t="shared" si="37"/>
        <v>0</v>
      </c>
      <c r="AG143" s="62">
        <f t="shared" si="38"/>
        <v>0</v>
      </c>
    </row>
    <row r="144" spans="2:33">
      <c r="B144" s="132" t="s">
        <v>313</v>
      </c>
      <c r="C144" s="138">
        <f>'version consolidée hors UE'!AO147</f>
        <v>0</v>
      </c>
      <c r="D144" s="22">
        <f t="shared" si="31"/>
        <v>0</v>
      </c>
      <c r="E144" s="86">
        <f t="shared" si="29"/>
        <v>168</v>
      </c>
      <c r="P144"/>
      <c r="Q144" s="132" t="s">
        <v>313</v>
      </c>
      <c r="R144" s="53">
        <f>'version consolidée hors UE'!F147</f>
        <v>0</v>
      </c>
      <c r="S144" s="53">
        <f>'version consolidée hors UE'!AM147*T144</f>
        <v>0</v>
      </c>
      <c r="T144" s="62">
        <f t="shared" si="30"/>
        <v>0</v>
      </c>
      <c r="U144" s="53">
        <f>'version consolidée hors UE'!M147</f>
        <v>0</v>
      </c>
      <c r="V144" s="53">
        <f>'version consolidée hors UE'!AM147*W144</f>
        <v>0</v>
      </c>
      <c r="W144" s="231">
        <f t="shared" si="32"/>
        <v>0</v>
      </c>
      <c r="X144" s="53">
        <f>'version consolidée hors UE'!T147+'version consolidée hors UE'!AJ147+'version consolidée hors UE'!AL147</f>
        <v>0</v>
      </c>
      <c r="Y144" s="53">
        <f>'version consolidée hors UE'!AM147*Z144</f>
        <v>0</v>
      </c>
      <c r="Z144" s="231">
        <f t="shared" si="28"/>
        <v>0</v>
      </c>
      <c r="AA144" s="53">
        <f t="shared" si="33"/>
        <v>0</v>
      </c>
      <c r="AB144" s="53">
        <f t="shared" si="34"/>
        <v>0</v>
      </c>
      <c r="AC144" s="62">
        <f t="shared" si="35"/>
        <v>0</v>
      </c>
      <c r="AE144" s="62">
        <f t="shared" si="36"/>
        <v>0</v>
      </c>
      <c r="AF144" s="62">
        <f t="shared" si="37"/>
        <v>0</v>
      </c>
      <c r="AG144" s="62">
        <f t="shared" si="38"/>
        <v>0</v>
      </c>
    </row>
    <row r="145" spans="2:33">
      <c r="B145" s="86" t="s">
        <v>238</v>
      </c>
      <c r="C145" s="138">
        <f>'version consolidée hors UE'!AO148</f>
        <v>53.73</v>
      </c>
      <c r="D145" s="22">
        <f t="shared" si="31"/>
        <v>2.5394577202464764E-7</v>
      </c>
      <c r="E145" s="86">
        <f t="shared" si="29"/>
        <v>163</v>
      </c>
      <c r="P145"/>
      <c r="Q145" s="86" t="s">
        <v>238</v>
      </c>
      <c r="R145" s="53">
        <f>'version consolidée hors UE'!F148</f>
        <v>53.73</v>
      </c>
      <c r="S145" s="53">
        <f>'version consolidée hors UE'!AM148*T145</f>
        <v>0</v>
      </c>
      <c r="T145" s="62">
        <f t="shared" si="30"/>
        <v>1</v>
      </c>
      <c r="U145" s="53">
        <f>'version consolidée hors UE'!M148</f>
        <v>0</v>
      </c>
      <c r="V145" s="53">
        <f>'version consolidée hors UE'!AM148*W145</f>
        <v>0</v>
      </c>
      <c r="W145" s="231">
        <f t="shared" si="32"/>
        <v>0</v>
      </c>
      <c r="X145" s="53">
        <f>'version consolidée hors UE'!T148+'version consolidée hors UE'!AJ148+'version consolidée hors UE'!AL148</f>
        <v>0</v>
      </c>
      <c r="Y145" s="53">
        <f>'version consolidée hors UE'!AM148*Z145</f>
        <v>0</v>
      </c>
      <c r="Z145" s="231">
        <f t="shared" si="28"/>
        <v>0</v>
      </c>
      <c r="AA145" s="53">
        <f t="shared" si="33"/>
        <v>53.73</v>
      </c>
      <c r="AB145" s="53">
        <f t="shared" si="34"/>
        <v>0</v>
      </c>
      <c r="AC145" s="62">
        <f t="shared" si="35"/>
        <v>1</v>
      </c>
      <c r="AE145" s="62">
        <f t="shared" si="36"/>
        <v>2.5263691650637099E-6</v>
      </c>
      <c r="AF145" s="62">
        <f t="shared" si="37"/>
        <v>0</v>
      </c>
      <c r="AG145" s="62">
        <f t="shared" si="38"/>
        <v>0</v>
      </c>
    </row>
    <row r="146" spans="2:33" s="57" customFormat="1">
      <c r="B146" s="86" t="s">
        <v>133</v>
      </c>
      <c r="C146" s="138">
        <f>'version consolidée hors UE'!AO149</f>
        <v>624229.69999999995</v>
      </c>
      <c r="D146" s="22">
        <f t="shared" si="31"/>
        <v>2.950316268140967E-3</v>
      </c>
      <c r="E146" s="86">
        <f t="shared" si="29"/>
        <v>17</v>
      </c>
      <c r="P146"/>
      <c r="Q146" s="86" t="s">
        <v>133</v>
      </c>
      <c r="R146" s="53">
        <f>'version consolidée hors UE'!F149</f>
        <v>266742.82999999996</v>
      </c>
      <c r="S146" s="53">
        <f>'version consolidée hors UE'!AM149*T146</f>
        <v>0</v>
      </c>
      <c r="T146" s="62">
        <f t="shared" si="30"/>
        <v>0.42731518541972607</v>
      </c>
      <c r="U146" s="53">
        <f>'version consolidée hors UE'!M149</f>
        <v>217739.28</v>
      </c>
      <c r="V146" s="53">
        <f>'version consolidée hors UE'!AM149*W146</f>
        <v>0</v>
      </c>
      <c r="W146" s="231">
        <f t="shared" si="32"/>
        <v>0.34881275274149887</v>
      </c>
      <c r="X146" s="53">
        <f>'version consolidée hors UE'!T149+'version consolidée hors UE'!AJ149+'version consolidée hors UE'!AL149</f>
        <v>139747.59</v>
      </c>
      <c r="Y146" s="53">
        <f>'version consolidée hors UE'!AM149*Z146</f>
        <v>0</v>
      </c>
      <c r="Z146" s="231">
        <f t="shared" si="28"/>
        <v>0.22387206183877506</v>
      </c>
      <c r="AA146" s="53">
        <f t="shared" si="33"/>
        <v>624229.69999999995</v>
      </c>
      <c r="AB146" s="53">
        <f t="shared" si="34"/>
        <v>0</v>
      </c>
      <c r="AC146" s="62">
        <f t="shared" si="35"/>
        <v>1</v>
      </c>
      <c r="AE146" s="62">
        <f t="shared" si="36"/>
        <v>1.2542171239788406E-2</v>
      </c>
      <c r="AF146" s="62">
        <f t="shared" si="37"/>
        <v>2.7421147135181224E-2</v>
      </c>
      <c r="AG146" s="62">
        <f t="shared" si="38"/>
        <v>7.6627611517095283E-4</v>
      </c>
    </row>
    <row r="147" spans="2:33">
      <c r="B147" s="86" t="s">
        <v>37</v>
      </c>
      <c r="C147" s="138">
        <f>'version consolidée hors UE'!AO150</f>
        <v>1101840.4222797772</v>
      </c>
      <c r="D147" s="22">
        <f t="shared" si="31"/>
        <v>5.2076626965159457E-3</v>
      </c>
      <c r="E147" s="86">
        <f t="shared" si="29"/>
        <v>11</v>
      </c>
      <c r="P147"/>
      <c r="Q147" s="86" t="s">
        <v>37</v>
      </c>
      <c r="R147" s="53">
        <f>'version consolidée hors UE'!F150</f>
        <v>104649.62999999999</v>
      </c>
      <c r="S147" s="53">
        <f>'version consolidée hors UE'!AM150*T147</f>
        <v>4667.6569358305715</v>
      </c>
      <c r="T147" s="62">
        <f t="shared" si="30"/>
        <v>9.4977119992996184E-2</v>
      </c>
      <c r="U147" s="53">
        <f>'version consolidée hors UE'!M150</f>
        <v>9365.07</v>
      </c>
      <c r="V147" s="53">
        <f>'version consolidée hors UE'!AM150*W147</f>
        <v>417.70748678269393</v>
      </c>
      <c r="W147" s="231">
        <f t="shared" si="32"/>
        <v>8.4994794260888334E-3</v>
      </c>
      <c r="X147" s="53">
        <f>'version consolidée hors UE'!T150+'version consolidée hors UE'!AJ150+'version consolidée hors UE'!AL150</f>
        <v>987825.72227977717</v>
      </c>
      <c r="Y147" s="53">
        <f>'version consolidée hors UE'!AM150*Z147</f>
        <v>44059.702685915341</v>
      </c>
      <c r="Z147" s="231">
        <f t="shared" si="28"/>
        <v>0.89652340058091495</v>
      </c>
      <c r="AA147" s="53">
        <f t="shared" si="33"/>
        <v>1101840.4222797772</v>
      </c>
      <c r="AB147" s="53">
        <f t="shared" si="34"/>
        <v>49145.067108528609</v>
      </c>
      <c r="AC147" s="62">
        <f t="shared" si="35"/>
        <v>1</v>
      </c>
      <c r="AE147" s="62">
        <f t="shared" si="36"/>
        <v>4.9205955400581829E-3</v>
      </c>
      <c r="AF147" s="62">
        <f t="shared" si="37"/>
        <v>1.1793965810912555E-3</v>
      </c>
      <c r="AG147" s="62">
        <f t="shared" si="38"/>
        <v>5.4165317407941574E-3</v>
      </c>
    </row>
    <row r="148" spans="2:33">
      <c r="B148" s="86" t="s">
        <v>134</v>
      </c>
      <c r="C148" s="138">
        <f>'version consolidée hors UE'!AO151</f>
        <v>16011.68</v>
      </c>
      <c r="D148" s="22">
        <f t="shared" si="31"/>
        <v>7.5676501749704256E-5</v>
      </c>
      <c r="E148" s="86">
        <f t="shared" si="29"/>
        <v>86</v>
      </c>
      <c r="P148"/>
      <c r="Q148" s="86" t="s">
        <v>134</v>
      </c>
      <c r="R148" s="53">
        <f>'version consolidée hors UE'!F151</f>
        <v>12382.460000000001</v>
      </c>
      <c r="S148" s="53">
        <f>'version consolidée hors UE'!AM151*T148</f>
        <v>0</v>
      </c>
      <c r="T148" s="62">
        <f t="shared" si="30"/>
        <v>0.77333921237496628</v>
      </c>
      <c r="U148" s="53">
        <f>'version consolidée hors UE'!M151</f>
        <v>2689.2</v>
      </c>
      <c r="V148" s="53">
        <f>'version consolidée hors UE'!AM151*W148</f>
        <v>0</v>
      </c>
      <c r="W148" s="231">
        <f t="shared" si="32"/>
        <v>0.16795239475183116</v>
      </c>
      <c r="X148" s="53">
        <f>'version consolidée hors UE'!T151+'version consolidée hors UE'!AJ151+'version consolidée hors UE'!AL151</f>
        <v>940.02</v>
      </c>
      <c r="Y148" s="53">
        <f>'version consolidée hors UE'!AM151*Z148</f>
        <v>0</v>
      </c>
      <c r="Z148" s="231">
        <f t="shared" si="28"/>
        <v>5.8708392873202557E-2</v>
      </c>
      <c r="AA148" s="53">
        <f t="shared" si="33"/>
        <v>16011.68</v>
      </c>
      <c r="AB148" s="53">
        <f t="shared" si="34"/>
        <v>0</v>
      </c>
      <c r="AC148" s="62">
        <f t="shared" si="35"/>
        <v>0.99999999999999989</v>
      </c>
      <c r="AE148" s="62">
        <f t="shared" si="36"/>
        <v>5.8221971210933908E-4</v>
      </c>
      <c r="AF148" s="62">
        <f t="shared" si="37"/>
        <v>3.3866626580160154E-4</v>
      </c>
      <c r="AG148" s="62">
        <f t="shared" si="38"/>
        <v>5.1543992549925127E-6</v>
      </c>
    </row>
    <row r="149" spans="2:33">
      <c r="B149" s="86" t="s">
        <v>239</v>
      </c>
      <c r="C149" s="138">
        <f>'version consolidée hors UE'!AO152</f>
        <v>1449.17</v>
      </c>
      <c r="D149" s="22">
        <f t="shared" si="31"/>
        <v>6.8492572947135423E-6</v>
      </c>
      <c r="E149" s="86">
        <f t="shared" si="29"/>
        <v>131</v>
      </c>
      <c r="P149"/>
      <c r="Q149" s="86" t="s">
        <v>239</v>
      </c>
      <c r="R149" s="53">
        <f>'version consolidée hors UE'!F152</f>
        <v>1425.3100000000002</v>
      </c>
      <c r="S149" s="53">
        <f>'version consolidée hors UE'!AM152*T149</f>
        <v>0</v>
      </c>
      <c r="T149" s="62">
        <f t="shared" si="30"/>
        <v>0.98353540302379994</v>
      </c>
      <c r="U149" s="53">
        <f>'version consolidée hors UE'!M152</f>
        <v>0</v>
      </c>
      <c r="V149" s="53">
        <f>'version consolidée hors UE'!AM152*W149</f>
        <v>0</v>
      </c>
      <c r="W149" s="231">
        <f t="shared" si="32"/>
        <v>0</v>
      </c>
      <c r="X149" s="53">
        <f>'version consolidée hors UE'!T152+'version consolidée hors UE'!AJ152+'version consolidée hors UE'!AL152</f>
        <v>23.86</v>
      </c>
      <c r="Y149" s="53">
        <f>'version consolidée hors UE'!AM152*Z149</f>
        <v>0</v>
      </c>
      <c r="Z149" s="231">
        <f t="shared" si="28"/>
        <v>1.6464596976200167E-2</v>
      </c>
      <c r="AA149" s="53">
        <f t="shared" si="33"/>
        <v>1449.17</v>
      </c>
      <c r="AB149" s="53">
        <f t="shared" si="34"/>
        <v>0</v>
      </c>
      <c r="AC149" s="62">
        <f t="shared" si="35"/>
        <v>1</v>
      </c>
      <c r="AE149" s="62">
        <f t="shared" si="36"/>
        <v>6.7017666753339984E-5</v>
      </c>
      <c r="AF149" s="62">
        <f t="shared" si="37"/>
        <v>0</v>
      </c>
      <c r="AG149" s="62">
        <f t="shared" si="38"/>
        <v>1.3083122297836361E-7</v>
      </c>
    </row>
    <row r="150" spans="2:33">
      <c r="B150" s="86" t="s">
        <v>135</v>
      </c>
      <c r="C150" s="138">
        <f>'version consolidée hors UE'!AO153</f>
        <v>158456.27999999997</v>
      </c>
      <c r="D150" s="22">
        <f t="shared" si="31"/>
        <v>7.4891685011639164E-4</v>
      </c>
      <c r="E150" s="86">
        <f t="shared" si="29"/>
        <v>38</v>
      </c>
      <c r="P150"/>
      <c r="Q150" s="86" t="s">
        <v>135</v>
      </c>
      <c r="R150" s="53">
        <f>'version consolidée hors UE'!F153</f>
        <v>76525.159999999989</v>
      </c>
      <c r="S150" s="53">
        <f>'version consolidée hors UE'!AM153*T150</f>
        <v>0</v>
      </c>
      <c r="T150" s="62">
        <f t="shared" si="30"/>
        <v>0.48294179315581565</v>
      </c>
      <c r="U150" s="53">
        <f>'version consolidée hors UE'!M153</f>
        <v>4806.47</v>
      </c>
      <c r="V150" s="53">
        <f>'version consolidée hors UE'!AM153*W150</f>
        <v>0</v>
      </c>
      <c r="W150" s="231">
        <f t="shared" si="32"/>
        <v>3.0333098820696795E-2</v>
      </c>
      <c r="X150" s="53">
        <f>'version consolidée hors UE'!T153+'version consolidée hors UE'!AJ153+'version consolidée hors UE'!AL153</f>
        <v>77124.649999999994</v>
      </c>
      <c r="Y150" s="53">
        <f>'version consolidée hors UE'!AM153*Z150</f>
        <v>0</v>
      </c>
      <c r="Z150" s="231">
        <f t="shared" si="28"/>
        <v>0.48672510802348767</v>
      </c>
      <c r="AA150" s="53">
        <f t="shared" si="33"/>
        <v>158456.27999999997</v>
      </c>
      <c r="AB150" s="53">
        <f t="shared" si="34"/>
        <v>0</v>
      </c>
      <c r="AC150" s="62">
        <f t="shared" si="35"/>
        <v>1</v>
      </c>
      <c r="AE150" s="62">
        <f t="shared" si="36"/>
        <v>3.5981910399323805E-3</v>
      </c>
      <c r="AF150" s="62">
        <f t="shared" si="37"/>
        <v>6.0530613066615499E-4</v>
      </c>
      <c r="AG150" s="62">
        <f t="shared" si="38"/>
        <v>4.228965750745285E-4</v>
      </c>
    </row>
    <row r="151" spans="2:33">
      <c r="B151" s="86" t="s">
        <v>240</v>
      </c>
      <c r="C151" s="138">
        <f>'version consolidée hors UE'!AO154</f>
        <v>0</v>
      </c>
      <c r="D151" s="22">
        <f t="shared" si="31"/>
        <v>0</v>
      </c>
      <c r="E151" s="86">
        <f t="shared" si="29"/>
        <v>168</v>
      </c>
      <c r="P151"/>
      <c r="Q151" s="86" t="s">
        <v>240</v>
      </c>
      <c r="R151" s="53">
        <f>'version consolidée hors UE'!F154</f>
        <v>0</v>
      </c>
      <c r="S151" s="53">
        <f>'version consolidée hors UE'!AM154*T151</f>
        <v>0</v>
      </c>
      <c r="T151" s="62">
        <f t="shared" si="30"/>
        <v>0</v>
      </c>
      <c r="U151" s="53">
        <f>'version consolidée hors UE'!M154</f>
        <v>0</v>
      </c>
      <c r="V151" s="53">
        <f>'version consolidée hors UE'!AM154*W151</f>
        <v>0</v>
      </c>
      <c r="W151" s="231">
        <f t="shared" si="32"/>
        <v>0</v>
      </c>
      <c r="X151" s="53">
        <f>'version consolidée hors UE'!T154+'version consolidée hors UE'!AJ154+'version consolidée hors UE'!AL154</f>
        <v>0</v>
      </c>
      <c r="Y151" s="53">
        <f>'version consolidée hors UE'!AM154*Z151</f>
        <v>0</v>
      </c>
      <c r="Z151" s="231">
        <f t="shared" si="28"/>
        <v>0</v>
      </c>
      <c r="AA151" s="53">
        <f t="shared" si="33"/>
        <v>0</v>
      </c>
      <c r="AB151" s="53">
        <f t="shared" si="34"/>
        <v>0</v>
      </c>
      <c r="AC151" s="62">
        <f t="shared" si="35"/>
        <v>0</v>
      </c>
      <c r="AE151" s="62">
        <f t="shared" si="36"/>
        <v>0</v>
      </c>
      <c r="AF151" s="62">
        <f t="shared" si="37"/>
        <v>0</v>
      </c>
      <c r="AG151" s="62">
        <f t="shared" si="38"/>
        <v>0</v>
      </c>
    </row>
    <row r="152" spans="2:33">
      <c r="B152" s="86" t="s">
        <v>136</v>
      </c>
      <c r="C152" s="138">
        <f>'version consolidée hors UE'!AO155</f>
        <v>77</v>
      </c>
      <c r="D152" s="22">
        <f t="shared" si="31"/>
        <v>3.639274975972058E-7</v>
      </c>
      <c r="E152" s="86">
        <f t="shared" si="29"/>
        <v>160</v>
      </c>
      <c r="P152"/>
      <c r="Q152" s="86" t="s">
        <v>136</v>
      </c>
      <c r="R152" s="53">
        <f>'version consolidée hors UE'!F155</f>
        <v>0</v>
      </c>
      <c r="S152" s="53">
        <f>'version consolidée hors UE'!AM155*T152</f>
        <v>0</v>
      </c>
      <c r="T152" s="62">
        <f t="shared" si="30"/>
        <v>0</v>
      </c>
      <c r="U152" s="53">
        <f>'version consolidée hors UE'!M155</f>
        <v>0</v>
      </c>
      <c r="V152" s="53">
        <f>'version consolidée hors UE'!AM155*W152</f>
        <v>0</v>
      </c>
      <c r="W152" s="231">
        <f t="shared" si="32"/>
        <v>0</v>
      </c>
      <c r="X152" s="53">
        <f>'version consolidée hors UE'!T155+'version consolidée hors UE'!AJ155+'version consolidée hors UE'!AL155</f>
        <v>77</v>
      </c>
      <c r="Y152" s="53">
        <f>'version consolidée hors UE'!AM155*Z152</f>
        <v>0</v>
      </c>
      <c r="Z152" s="231">
        <f t="shared" si="28"/>
        <v>1</v>
      </c>
      <c r="AA152" s="53">
        <f t="shared" si="33"/>
        <v>77</v>
      </c>
      <c r="AB152" s="53">
        <f t="shared" si="34"/>
        <v>0</v>
      </c>
      <c r="AC152" s="62">
        <f t="shared" si="35"/>
        <v>1</v>
      </c>
      <c r="AE152" s="62">
        <f t="shared" si="36"/>
        <v>0</v>
      </c>
      <c r="AF152" s="62">
        <f t="shared" si="37"/>
        <v>0</v>
      </c>
      <c r="AG152" s="62">
        <f t="shared" si="38"/>
        <v>4.2221308337527232E-7</v>
      </c>
    </row>
    <row r="153" spans="2:33">
      <c r="B153" s="132" t="s">
        <v>314</v>
      </c>
      <c r="C153" s="138">
        <f>'version consolidée hors UE'!AO156</f>
        <v>0</v>
      </c>
      <c r="D153" s="22">
        <f t="shared" si="31"/>
        <v>0</v>
      </c>
      <c r="E153" s="86">
        <f t="shared" si="29"/>
        <v>168</v>
      </c>
      <c r="P153"/>
      <c r="Q153" s="132" t="s">
        <v>314</v>
      </c>
      <c r="R153" s="53">
        <f>'version consolidée hors UE'!F156</f>
        <v>0</v>
      </c>
      <c r="S153" s="53">
        <f>'version consolidée hors UE'!AM156*T153</f>
        <v>0</v>
      </c>
      <c r="T153" s="62">
        <f t="shared" si="30"/>
        <v>0</v>
      </c>
      <c r="U153" s="53">
        <f>'version consolidée hors UE'!M156</f>
        <v>0</v>
      </c>
      <c r="V153" s="53">
        <f>'version consolidée hors UE'!AM156*W153</f>
        <v>0</v>
      </c>
      <c r="W153" s="231">
        <f t="shared" si="32"/>
        <v>0</v>
      </c>
      <c r="X153" s="53">
        <f>'version consolidée hors UE'!T156+'version consolidée hors UE'!AJ156+'version consolidée hors UE'!AL156</f>
        <v>0</v>
      </c>
      <c r="Y153" s="53">
        <f>'version consolidée hors UE'!AM156*Z153</f>
        <v>0</v>
      </c>
      <c r="Z153" s="231">
        <f t="shared" si="28"/>
        <v>0</v>
      </c>
      <c r="AA153" s="53">
        <f t="shared" si="33"/>
        <v>0</v>
      </c>
      <c r="AB153" s="53">
        <f t="shared" si="34"/>
        <v>0</v>
      </c>
      <c r="AC153" s="62">
        <f t="shared" si="35"/>
        <v>0</v>
      </c>
      <c r="AE153" s="62">
        <f t="shared" si="36"/>
        <v>0</v>
      </c>
      <c r="AF153" s="62">
        <f t="shared" si="37"/>
        <v>0</v>
      </c>
      <c r="AG153" s="62">
        <f t="shared" si="38"/>
        <v>0</v>
      </c>
    </row>
    <row r="154" spans="2:33">
      <c r="B154" s="86" t="s">
        <v>137</v>
      </c>
      <c r="C154" s="138">
        <f>'version consolidée hors UE'!AO157</f>
        <v>71338.55</v>
      </c>
      <c r="D154" s="22">
        <f t="shared" si="31"/>
        <v>3.371696101780928E-4</v>
      </c>
      <c r="E154" s="86">
        <f t="shared" si="29"/>
        <v>53</v>
      </c>
      <c r="P154"/>
      <c r="Q154" s="86" t="s">
        <v>137</v>
      </c>
      <c r="R154" s="53">
        <f>'version consolidée hors UE'!F157</f>
        <v>65592.759999999995</v>
      </c>
      <c r="S154" s="53">
        <f>'version consolidée hors UE'!AM157*T154</f>
        <v>0</v>
      </c>
      <c r="T154" s="62">
        <f t="shared" si="30"/>
        <v>0.91945743220180387</v>
      </c>
      <c r="U154" s="53">
        <f>'version consolidée hors UE'!M157</f>
        <v>3842.22</v>
      </c>
      <c r="V154" s="53">
        <f>'version consolidée hors UE'!AM157*W154</f>
        <v>0</v>
      </c>
      <c r="W154" s="231">
        <f t="shared" si="32"/>
        <v>5.385895844532864E-2</v>
      </c>
      <c r="X154" s="53">
        <f>'version consolidée hors UE'!T157+'version consolidée hors UE'!AJ157+'version consolidée hors UE'!AL157</f>
        <v>1903.57</v>
      </c>
      <c r="Y154" s="53">
        <f>'version consolidée hors UE'!AM157*Z154</f>
        <v>0</v>
      </c>
      <c r="Z154" s="231">
        <f t="shared" si="28"/>
        <v>2.6683609352867416E-2</v>
      </c>
      <c r="AA154" s="53">
        <f t="shared" si="33"/>
        <v>71338.55</v>
      </c>
      <c r="AB154" s="53">
        <f t="shared" si="34"/>
        <v>0</v>
      </c>
      <c r="AC154" s="62">
        <f t="shared" si="35"/>
        <v>0.99999999999999989</v>
      </c>
      <c r="AE154" s="62">
        <f t="shared" si="36"/>
        <v>3.0841527324664865E-3</v>
      </c>
      <c r="AF154" s="62">
        <f t="shared" si="37"/>
        <v>4.8387263862421145E-4</v>
      </c>
      <c r="AG154" s="62">
        <f t="shared" si="38"/>
        <v>1.0437820248320351E-5</v>
      </c>
    </row>
    <row r="155" spans="2:33">
      <c r="B155" s="132" t="s">
        <v>315</v>
      </c>
      <c r="C155" s="138">
        <f>'version consolidée hors UE'!AO158</f>
        <v>1204</v>
      </c>
      <c r="D155" s="22">
        <f t="shared" si="31"/>
        <v>5.6905026897017633E-6</v>
      </c>
      <c r="E155" s="86">
        <f t="shared" si="29"/>
        <v>134</v>
      </c>
      <c r="P155"/>
      <c r="Q155" s="132" t="s">
        <v>315</v>
      </c>
      <c r="R155" s="53">
        <f>'version consolidée hors UE'!F158</f>
        <v>1204</v>
      </c>
      <c r="S155" s="53">
        <f>'version consolidée hors UE'!AM158*T155</f>
        <v>0</v>
      </c>
      <c r="T155" s="62">
        <f t="shared" si="30"/>
        <v>1</v>
      </c>
      <c r="U155" s="53">
        <f>'version consolidée hors UE'!M158</f>
        <v>0</v>
      </c>
      <c r="V155" s="53">
        <f>'version consolidée hors UE'!AM158*W155</f>
        <v>0</v>
      </c>
      <c r="W155" s="231">
        <f t="shared" si="32"/>
        <v>0</v>
      </c>
      <c r="X155" s="53">
        <f>'version consolidée hors UE'!T158+'version consolidée hors UE'!AJ158+'version consolidée hors UE'!AL158</f>
        <v>0</v>
      </c>
      <c r="Y155" s="53">
        <f>'version consolidée hors UE'!AM158*Z155</f>
        <v>0</v>
      </c>
      <c r="Z155" s="231">
        <f t="shared" si="28"/>
        <v>0</v>
      </c>
      <c r="AA155" s="53">
        <f t="shared" si="33"/>
        <v>1204</v>
      </c>
      <c r="AB155" s="53">
        <f t="shared" si="34"/>
        <v>0</v>
      </c>
      <c r="AC155" s="62">
        <f t="shared" si="35"/>
        <v>1</v>
      </c>
      <c r="AE155" s="62">
        <f t="shared" si="36"/>
        <v>5.6611734128730819E-5</v>
      </c>
      <c r="AF155" s="62">
        <f t="shared" si="37"/>
        <v>0</v>
      </c>
      <c r="AG155" s="62">
        <f t="shared" si="38"/>
        <v>0</v>
      </c>
    </row>
    <row r="156" spans="2:33">
      <c r="B156" s="86" t="s">
        <v>138</v>
      </c>
      <c r="C156" s="138">
        <f>'version consolidée hors UE'!AO159</f>
        <v>1008.4100000000001</v>
      </c>
      <c r="D156" s="22">
        <f t="shared" ref="D156:D181" si="50">C156/$C$190</f>
        <v>4.7660795824934846E-6</v>
      </c>
      <c r="E156" s="86">
        <f t="shared" si="29"/>
        <v>136</v>
      </c>
      <c r="P156"/>
      <c r="Q156" s="86" t="s">
        <v>138</v>
      </c>
      <c r="R156" s="53">
        <f>'version consolidée hors UE'!F159</f>
        <v>556.25</v>
      </c>
      <c r="S156" s="53">
        <f>'version consolidée hors UE'!AM159*T156</f>
        <v>0</v>
      </c>
      <c r="T156" s="62">
        <f t="shared" si="30"/>
        <v>0.55161095189456666</v>
      </c>
      <c r="U156" s="53">
        <f>'version consolidée hors UE'!M159</f>
        <v>0</v>
      </c>
      <c r="V156" s="53">
        <f>'version consolidée hors UE'!AM159*W156</f>
        <v>0</v>
      </c>
      <c r="W156" s="231">
        <f t="shared" si="32"/>
        <v>0</v>
      </c>
      <c r="X156" s="53">
        <f>'version consolidée hors UE'!T159+'version consolidée hors UE'!AJ159+'version consolidée hors UE'!AL159</f>
        <v>452.16</v>
      </c>
      <c r="Y156" s="53">
        <f>'version consolidée hors UE'!AM159*Z156</f>
        <v>0</v>
      </c>
      <c r="Z156" s="231">
        <f t="shared" si="28"/>
        <v>0.44838904810543329</v>
      </c>
      <c r="AA156" s="53">
        <f t="shared" si="33"/>
        <v>1008.4100000000001</v>
      </c>
      <c r="AB156" s="53">
        <f t="shared" si="34"/>
        <v>0</v>
      </c>
      <c r="AC156" s="62">
        <f t="shared" si="35"/>
        <v>1</v>
      </c>
      <c r="AE156" s="62">
        <f t="shared" ref="AE156:AE181" si="51">R156/$R$190</f>
        <v>2.6154715206899103E-5</v>
      </c>
      <c r="AF156" s="62">
        <f t="shared" ref="AF156:AF181" si="52">U156/$U$190</f>
        <v>0</v>
      </c>
      <c r="AG156" s="62">
        <f t="shared" ref="AG156:AG181" si="53">X156/$X$190</f>
        <v>2.4793229581683522E-6</v>
      </c>
    </row>
    <row r="157" spans="2:33">
      <c r="B157" s="86" t="s">
        <v>241</v>
      </c>
      <c r="C157" s="138">
        <f>'version consolidée hors UE'!AO160</f>
        <v>194.92000000000002</v>
      </c>
      <c r="D157" s="22">
        <f t="shared" si="50"/>
        <v>9.2125646534606962E-7</v>
      </c>
      <c r="E157" s="86">
        <f t="shared" si="29"/>
        <v>155</v>
      </c>
      <c r="P157"/>
      <c r="Q157" s="86" t="s">
        <v>241</v>
      </c>
      <c r="R157" s="53">
        <f>'version consolidée hors UE'!F160</f>
        <v>194.92000000000002</v>
      </c>
      <c r="S157" s="53">
        <f>'version consolidée hors UE'!AM160*T157</f>
        <v>0</v>
      </c>
      <c r="T157" s="62">
        <f t="shared" si="30"/>
        <v>1</v>
      </c>
      <c r="U157" s="53">
        <f>'version consolidée hors UE'!M160</f>
        <v>0</v>
      </c>
      <c r="V157" s="53">
        <f>'version consolidée hors UE'!AM160*W157</f>
        <v>0</v>
      </c>
      <c r="W157" s="231">
        <f t="shared" si="32"/>
        <v>0</v>
      </c>
      <c r="X157" s="53">
        <f>'version consolidée hors UE'!T160+'version consolidée hors UE'!AJ160+'version consolidée hors UE'!AL160</f>
        <v>0</v>
      </c>
      <c r="Y157" s="53">
        <f>'version consolidée hors UE'!AM160*Z157</f>
        <v>0</v>
      </c>
      <c r="Z157" s="231">
        <f t="shared" si="28"/>
        <v>0</v>
      </c>
      <c r="AA157" s="53">
        <f t="shared" si="33"/>
        <v>194.92000000000002</v>
      </c>
      <c r="AB157" s="53">
        <f t="shared" si="34"/>
        <v>0</v>
      </c>
      <c r="AC157" s="62">
        <f t="shared" si="35"/>
        <v>1</v>
      </c>
      <c r="AE157" s="62">
        <f t="shared" si="51"/>
        <v>9.1650824056247615E-6</v>
      </c>
      <c r="AF157" s="62">
        <f t="shared" si="52"/>
        <v>0</v>
      </c>
      <c r="AG157" s="62">
        <f t="shared" si="53"/>
        <v>0</v>
      </c>
    </row>
    <row r="158" spans="2:33">
      <c r="B158" s="86" t="s">
        <v>139</v>
      </c>
      <c r="C158" s="138">
        <f>'version consolidée hors UE'!AO161</f>
        <v>2382.5</v>
      </c>
      <c r="D158" s="22">
        <f t="shared" si="50"/>
        <v>1.1260483935394062E-5</v>
      </c>
      <c r="E158" s="86">
        <f t="shared" si="29"/>
        <v>124</v>
      </c>
      <c r="P158"/>
      <c r="Q158" s="86" t="s">
        <v>139</v>
      </c>
      <c r="R158" s="53">
        <f>'version consolidée hors UE'!F161</f>
        <v>2292.04</v>
      </c>
      <c r="S158" s="53">
        <f>'version consolidée hors UE'!AM161*T158</f>
        <v>0</v>
      </c>
      <c r="T158" s="62">
        <f t="shared" si="30"/>
        <v>0.96203147953830004</v>
      </c>
      <c r="U158" s="53">
        <f>'version consolidée hors UE'!M161</f>
        <v>0</v>
      </c>
      <c r="V158" s="53">
        <f>'version consolidée hors UE'!AM161*W158</f>
        <v>0</v>
      </c>
      <c r="W158" s="231">
        <f t="shared" si="32"/>
        <v>0</v>
      </c>
      <c r="X158" s="53">
        <f>'version consolidée hors UE'!T161+'version consolidée hors UE'!AJ161+'version consolidée hors UE'!AL161</f>
        <v>90.46</v>
      </c>
      <c r="Y158" s="53">
        <f>'version consolidée hors UE'!AM161*Z158</f>
        <v>0</v>
      </c>
      <c r="Z158" s="231">
        <f t="shared" si="28"/>
        <v>3.7968520461699892E-2</v>
      </c>
      <c r="AA158" s="53">
        <f t="shared" si="33"/>
        <v>2382.5</v>
      </c>
      <c r="AB158" s="53">
        <f t="shared" si="34"/>
        <v>0</v>
      </c>
      <c r="AC158" s="62">
        <f t="shared" si="35"/>
        <v>0.99999999999999989</v>
      </c>
      <c r="AE158" s="62">
        <f t="shared" si="51"/>
        <v>1.0777106236911643E-4</v>
      </c>
      <c r="AF158" s="62">
        <f t="shared" si="52"/>
        <v>0</v>
      </c>
      <c r="AG158" s="62">
        <f t="shared" si="53"/>
        <v>4.9601812366398869E-7</v>
      </c>
    </row>
    <row r="159" spans="2:33">
      <c r="B159" s="86" t="s">
        <v>242</v>
      </c>
      <c r="C159" s="138">
        <f>'version consolidée hors UE'!AO162</f>
        <v>410.72</v>
      </c>
      <c r="D159" s="22">
        <f t="shared" si="50"/>
        <v>1.941198724845771E-6</v>
      </c>
      <c r="E159" s="86">
        <f t="shared" si="29"/>
        <v>145</v>
      </c>
      <c r="P159"/>
      <c r="Q159" s="86" t="s">
        <v>242</v>
      </c>
      <c r="R159" s="53">
        <f>'version consolidée hors UE'!F162</f>
        <v>410.72</v>
      </c>
      <c r="S159" s="53">
        <f>'version consolidée hors UE'!AM162*T159</f>
        <v>0</v>
      </c>
      <c r="T159" s="62">
        <f t="shared" si="30"/>
        <v>1</v>
      </c>
      <c r="U159" s="53">
        <f>'version consolidée hors UE'!M162</f>
        <v>0</v>
      </c>
      <c r="V159" s="53">
        <f>'version consolidée hors UE'!AM162*W159</f>
        <v>0</v>
      </c>
      <c r="W159" s="231">
        <f t="shared" si="32"/>
        <v>0</v>
      </c>
      <c r="X159" s="53">
        <f>'version consolidée hors UE'!T162+'version consolidée hors UE'!AJ162+'version consolidée hors UE'!AL162</f>
        <v>0</v>
      </c>
      <c r="Y159" s="53">
        <f>'version consolidée hors UE'!AM162*Z159</f>
        <v>0</v>
      </c>
      <c r="Z159" s="231">
        <f t="shared" si="28"/>
        <v>0</v>
      </c>
      <c r="AA159" s="53">
        <f t="shared" si="33"/>
        <v>410.72</v>
      </c>
      <c r="AB159" s="53">
        <f t="shared" si="34"/>
        <v>0</v>
      </c>
      <c r="AC159" s="62">
        <f t="shared" si="35"/>
        <v>1</v>
      </c>
      <c r="AE159" s="62">
        <f t="shared" si="51"/>
        <v>1.9311936413083327E-5</v>
      </c>
      <c r="AF159" s="62">
        <f t="shared" si="52"/>
        <v>0</v>
      </c>
      <c r="AG159" s="62">
        <f t="shared" si="53"/>
        <v>0</v>
      </c>
    </row>
    <row r="160" spans="2:33">
      <c r="B160" s="86" t="s">
        <v>140</v>
      </c>
      <c r="C160" s="138">
        <f>'version consolidée hors UE'!AO163</f>
        <v>36774.9</v>
      </c>
      <c r="D160" s="22">
        <f t="shared" si="50"/>
        <v>1.738103549530842E-4</v>
      </c>
      <c r="E160" s="86">
        <f t="shared" si="29"/>
        <v>61</v>
      </c>
      <c r="P160"/>
      <c r="Q160" s="86" t="s">
        <v>140</v>
      </c>
      <c r="R160" s="53">
        <f>'version consolidée hors UE'!F163</f>
        <v>18349.61</v>
      </c>
      <c r="S160" s="53">
        <f>'version consolidée hors UE'!AM163*T160</f>
        <v>0</v>
      </c>
      <c r="T160" s="62">
        <f t="shared" si="30"/>
        <v>0.49897103731077447</v>
      </c>
      <c r="U160" s="53">
        <f>'version consolidée hors UE'!M163</f>
        <v>0</v>
      </c>
      <c r="V160" s="53">
        <f>'version consolidée hors UE'!AM163*W160</f>
        <v>0</v>
      </c>
      <c r="W160" s="231">
        <f t="shared" si="32"/>
        <v>0</v>
      </c>
      <c r="X160" s="53">
        <f>'version consolidée hors UE'!T163+'version consolidée hors UE'!AJ163+'version consolidée hors UE'!AL163</f>
        <v>18425.29</v>
      </c>
      <c r="Y160" s="53">
        <f>'version consolidée hors UE'!AM163*Z160</f>
        <v>0</v>
      </c>
      <c r="Z160" s="231">
        <f t="shared" si="28"/>
        <v>0.50102896268922559</v>
      </c>
      <c r="AA160" s="53">
        <f t="shared" si="33"/>
        <v>36774.9</v>
      </c>
      <c r="AB160" s="53">
        <f t="shared" si="34"/>
        <v>0</v>
      </c>
      <c r="AC160" s="62">
        <f t="shared" si="35"/>
        <v>1</v>
      </c>
      <c r="AE160" s="62">
        <f t="shared" si="51"/>
        <v>8.6279339093513316E-4</v>
      </c>
      <c r="AF160" s="62">
        <f t="shared" si="52"/>
        <v>0</v>
      </c>
      <c r="AG160" s="62">
        <f t="shared" si="53"/>
        <v>1.0103114938939703E-4</v>
      </c>
    </row>
    <row r="161" spans="2:33">
      <c r="B161" s="86" t="s">
        <v>141</v>
      </c>
      <c r="C161" s="138">
        <f>'version consolidée hors UE'!AO164</f>
        <v>13468.84</v>
      </c>
      <c r="D161" s="22">
        <f t="shared" si="50"/>
        <v>6.3658197879703243E-5</v>
      </c>
      <c r="E161" s="86">
        <f t="shared" si="29"/>
        <v>89</v>
      </c>
      <c r="P161"/>
      <c r="Q161" s="86" t="s">
        <v>141</v>
      </c>
      <c r="R161" s="53">
        <f>'version consolidée hors UE'!F164</f>
        <v>10936.49</v>
      </c>
      <c r="S161" s="53">
        <f>'version consolidée hors UE'!AM164*T161</f>
        <v>0</v>
      </c>
      <c r="T161" s="62">
        <f t="shared" si="30"/>
        <v>0.81198455100810463</v>
      </c>
      <c r="U161" s="53">
        <f>'version consolidée hors UE'!M164</f>
        <v>0</v>
      </c>
      <c r="V161" s="53">
        <f>'version consolidée hors UE'!AM164*W161</f>
        <v>0</v>
      </c>
      <c r="W161" s="231">
        <f t="shared" si="32"/>
        <v>0</v>
      </c>
      <c r="X161" s="53">
        <f>'version consolidée hors UE'!T164+'version consolidée hors UE'!AJ164+'version consolidée hors UE'!AL164</f>
        <v>2532.3500000000004</v>
      </c>
      <c r="Y161" s="53">
        <f>'version consolidée hors UE'!AM164*Z161</f>
        <v>0</v>
      </c>
      <c r="Z161" s="231">
        <f t="shared" si="28"/>
        <v>0.1880154489918954</v>
      </c>
      <c r="AA161" s="53">
        <f t="shared" si="33"/>
        <v>13468.84</v>
      </c>
      <c r="AB161" s="53">
        <f t="shared" si="34"/>
        <v>0</v>
      </c>
      <c r="AC161" s="62">
        <f t="shared" si="35"/>
        <v>1</v>
      </c>
      <c r="AE161" s="62">
        <f t="shared" si="51"/>
        <v>5.1423061809096617E-4</v>
      </c>
      <c r="AF161" s="62">
        <f t="shared" si="52"/>
        <v>0</v>
      </c>
      <c r="AG161" s="62">
        <f t="shared" si="53"/>
        <v>1.3885601320589234E-5</v>
      </c>
    </row>
    <row r="162" spans="2:33">
      <c r="B162" s="86" t="s">
        <v>142</v>
      </c>
      <c r="C162" s="138">
        <f>'version consolidée hors UE'!AO165</f>
        <v>8807.6200000000008</v>
      </c>
      <c r="D162" s="22">
        <f t="shared" si="50"/>
        <v>4.1627728654377951E-5</v>
      </c>
      <c r="E162" s="86">
        <f t="shared" si="29"/>
        <v>103</v>
      </c>
      <c r="P162"/>
      <c r="Q162" s="86" t="s">
        <v>142</v>
      </c>
      <c r="R162" s="53">
        <f>'version consolidée hors UE'!F165</f>
        <v>1576.63</v>
      </c>
      <c r="S162" s="53">
        <f>'version consolidée hors UE'!AM165*T162</f>
        <v>0</v>
      </c>
      <c r="T162" s="62">
        <f t="shared" si="30"/>
        <v>0.17900749578206143</v>
      </c>
      <c r="U162" s="53">
        <f>'version consolidée hors UE'!M165</f>
        <v>0</v>
      </c>
      <c r="V162" s="53">
        <f>'version consolidée hors UE'!AM165*W162</f>
        <v>0</v>
      </c>
      <c r="W162" s="231">
        <f t="shared" si="32"/>
        <v>0</v>
      </c>
      <c r="X162" s="53">
        <f>'version consolidée hors UE'!T165+'version consolidée hors UE'!AJ165+'version consolidée hors UE'!AL165</f>
        <v>7230.9900000000007</v>
      </c>
      <c r="Y162" s="53">
        <f>'version consolidée hors UE'!AM165*Z162</f>
        <v>0</v>
      </c>
      <c r="Z162" s="231">
        <f t="shared" si="28"/>
        <v>0.82099250421793857</v>
      </c>
      <c r="AA162" s="53">
        <f t="shared" si="33"/>
        <v>8807.6200000000008</v>
      </c>
      <c r="AB162" s="53">
        <f t="shared" si="34"/>
        <v>0</v>
      </c>
      <c r="AC162" s="62">
        <f t="shared" si="35"/>
        <v>1</v>
      </c>
      <c r="AE162" s="62">
        <f t="shared" si="51"/>
        <v>7.4132689683871158E-5</v>
      </c>
      <c r="AF162" s="62">
        <f t="shared" si="52"/>
        <v>0</v>
      </c>
      <c r="AG162" s="62">
        <f t="shared" si="53"/>
        <v>3.9649591996828057E-5</v>
      </c>
    </row>
    <row r="163" spans="2:33">
      <c r="B163" s="132" t="s">
        <v>143</v>
      </c>
      <c r="C163" s="138">
        <f>'version consolidée hors UE'!AO166</f>
        <v>2244605.5100000002</v>
      </c>
      <c r="D163" s="22">
        <f t="shared" si="50"/>
        <v>1.0608748913599999E-2</v>
      </c>
      <c r="E163" s="86">
        <f t="shared" si="29"/>
        <v>9</v>
      </c>
      <c r="P163"/>
      <c r="Q163" s="132" t="s">
        <v>143</v>
      </c>
      <c r="R163" s="53">
        <f>'version consolidée hors UE'!F166</f>
        <v>1960571.37</v>
      </c>
      <c r="S163" s="53">
        <f>'version consolidée hors UE'!AM166*T163</f>
        <v>0</v>
      </c>
      <c r="T163" s="62">
        <f t="shared" si="30"/>
        <v>0.87345921644823898</v>
      </c>
      <c r="U163" s="53">
        <f>'version consolidée hors UE'!M166</f>
        <v>29283.969999999998</v>
      </c>
      <c r="V163" s="53">
        <f>'version consolidée hors UE'!AM166*W163</f>
        <v>0</v>
      </c>
      <c r="W163" s="231">
        <f t="shared" si="32"/>
        <v>1.3046377133770822E-2</v>
      </c>
      <c r="X163" s="53">
        <f>'version consolidée hors UE'!T166+'version consolidée hors UE'!AJ166+'version consolidée hors UE'!AL166</f>
        <v>254750.17000000004</v>
      </c>
      <c r="Y163" s="53">
        <f>'version consolidée hors UE'!AM166*Z163</f>
        <v>0</v>
      </c>
      <c r="Z163" s="231">
        <f t="shared" si="28"/>
        <v>0.11349440641799013</v>
      </c>
      <c r="AA163" s="53">
        <f t="shared" si="33"/>
        <v>2244605.5100000002</v>
      </c>
      <c r="AB163" s="53">
        <f t="shared" si="34"/>
        <v>0</v>
      </c>
      <c r="AC163" s="62">
        <f t="shared" si="35"/>
        <v>0.99999999999999989</v>
      </c>
      <c r="AE163" s="62">
        <f t="shared" si="51"/>
        <v>9.2185502607011249E-2</v>
      </c>
      <c r="AF163" s="62">
        <f t="shared" si="52"/>
        <v>3.6878970577666685E-3</v>
      </c>
      <c r="AG163" s="62">
        <f t="shared" si="53"/>
        <v>1.3968682437152573E-3</v>
      </c>
    </row>
    <row r="164" spans="2:33">
      <c r="B164" s="86" t="s">
        <v>170</v>
      </c>
      <c r="C164" s="138">
        <f>'version consolidée hors UE'!AO167</f>
        <v>76.3</v>
      </c>
      <c r="D164" s="22">
        <f t="shared" si="50"/>
        <v>3.6061906580086754E-7</v>
      </c>
      <c r="E164" s="86">
        <f t="shared" si="29"/>
        <v>161</v>
      </c>
      <c r="P164"/>
      <c r="Q164" s="86" t="s">
        <v>170</v>
      </c>
      <c r="R164" s="53">
        <f>'version consolidée hors UE'!F167</f>
        <v>76.3</v>
      </c>
      <c r="S164" s="53">
        <f>'version consolidée hors UE'!AM167*T164</f>
        <v>0</v>
      </c>
      <c r="T164" s="62">
        <f t="shared" si="30"/>
        <v>1</v>
      </c>
      <c r="U164" s="53">
        <f>'version consolidée hors UE'!M167</f>
        <v>0</v>
      </c>
      <c r="V164" s="53">
        <f>'version consolidée hors UE'!AM167*W164</f>
        <v>0</v>
      </c>
      <c r="W164" s="231">
        <f t="shared" si="32"/>
        <v>0</v>
      </c>
      <c r="X164" s="53">
        <f>'version consolidée hors UE'!T167+'version consolidée hors UE'!AJ167+'version consolidée hors UE'!AL167</f>
        <v>0</v>
      </c>
      <c r="Y164" s="53">
        <f>'version consolidée hors UE'!AM167*Z164</f>
        <v>0</v>
      </c>
      <c r="Z164" s="231">
        <f t="shared" si="28"/>
        <v>0</v>
      </c>
      <c r="AA164" s="53">
        <f t="shared" si="33"/>
        <v>76.3</v>
      </c>
      <c r="AB164" s="53">
        <f t="shared" si="34"/>
        <v>0</v>
      </c>
      <c r="AC164" s="62">
        <f t="shared" si="35"/>
        <v>1</v>
      </c>
      <c r="AE164" s="62">
        <f t="shared" si="51"/>
        <v>3.5876040814137553E-6</v>
      </c>
      <c r="AF164" s="62">
        <f t="shared" si="52"/>
        <v>0</v>
      </c>
      <c r="AG164" s="62">
        <f t="shared" si="53"/>
        <v>0</v>
      </c>
    </row>
    <row r="165" spans="2:33">
      <c r="B165" s="86" t="s">
        <v>144</v>
      </c>
      <c r="C165" s="138">
        <f>'version consolidée hors UE'!AO168</f>
        <v>94207.450000000012</v>
      </c>
      <c r="D165" s="22">
        <f t="shared" si="50"/>
        <v>4.4525560433134921E-4</v>
      </c>
      <c r="E165" s="86">
        <f t="shared" ref="E165:E181" si="54">RANK(C165,$C$4:$C$189)</f>
        <v>49</v>
      </c>
      <c r="P165"/>
      <c r="Q165" s="86" t="s">
        <v>144</v>
      </c>
      <c r="R165" s="53">
        <f>'version consolidée hors UE'!F168</f>
        <v>53498.83</v>
      </c>
      <c r="S165" s="53">
        <f>'version consolidée hors UE'!AM168*T165</f>
        <v>0</v>
      </c>
      <c r="T165" s="62">
        <f t="shared" si="30"/>
        <v>0.56788321942691367</v>
      </c>
      <c r="U165" s="53">
        <f>'version consolidée hors UE'!M168</f>
        <v>18658.150000000001</v>
      </c>
      <c r="V165" s="53">
        <f>'version consolidée hors UE'!AM168*W165</f>
        <v>0</v>
      </c>
      <c r="W165" s="231">
        <f t="shared" si="32"/>
        <v>0.1980538694126632</v>
      </c>
      <c r="X165" s="53">
        <f>'version consolidée hors UE'!T168+'version consolidée hors UE'!AJ168+'version consolidée hors UE'!AL168</f>
        <v>22050.47</v>
      </c>
      <c r="Y165" s="53">
        <f>'version consolidée hors UE'!AM168*Z165</f>
        <v>0</v>
      </c>
      <c r="Z165" s="231">
        <f>IFERROR(X165/AA165,0)</f>
        <v>0.23406291116042308</v>
      </c>
      <c r="AA165" s="53">
        <f t="shared" si="33"/>
        <v>94207.450000000012</v>
      </c>
      <c r="AB165" s="53">
        <f t="shared" si="34"/>
        <v>0</v>
      </c>
      <c r="AC165" s="62">
        <f t="shared" si="35"/>
        <v>1</v>
      </c>
      <c r="AE165" s="62">
        <f t="shared" si="51"/>
        <v>2.5154996180715684E-3</v>
      </c>
      <c r="AF165" s="62">
        <f t="shared" si="52"/>
        <v>2.349727051638462E-3</v>
      </c>
      <c r="AG165" s="62">
        <f t="shared" si="53"/>
        <v>1.2090905102044079E-4</v>
      </c>
    </row>
    <row r="166" spans="2:33">
      <c r="B166" s="132" t="s">
        <v>316</v>
      </c>
      <c r="C166" s="138">
        <f>'version consolidée hors UE'!AO169</f>
        <v>16655.710000000003</v>
      </c>
      <c r="D166" s="22">
        <f t="shared" si="50"/>
        <v>7.8720400792269576E-5</v>
      </c>
      <c r="E166" s="86">
        <f t="shared" si="54"/>
        <v>84</v>
      </c>
      <c r="P166"/>
      <c r="Q166" s="132" t="s">
        <v>316</v>
      </c>
      <c r="R166" s="53">
        <f>'version consolidée hors UE'!F169</f>
        <v>16537.170000000002</v>
      </c>
      <c r="S166" s="53">
        <f>'version consolidée hors UE'!AM169*T166</f>
        <v>0</v>
      </c>
      <c r="T166" s="62">
        <f t="shared" si="30"/>
        <v>0.99288292123241817</v>
      </c>
      <c r="U166" s="53">
        <f>'version consolidée hors UE'!M169</f>
        <v>0</v>
      </c>
      <c r="V166" s="53">
        <f>'version consolidée hors UE'!AM169*W166</f>
        <v>0</v>
      </c>
      <c r="W166" s="231">
        <f t="shared" si="32"/>
        <v>0</v>
      </c>
      <c r="X166" s="53">
        <f>'version consolidée hors UE'!T169+'version consolidée hors UE'!AJ169+'version consolidée hors UE'!AL169</f>
        <v>118.54</v>
      </c>
      <c r="Y166" s="53">
        <f>'version consolidée hors UE'!AM169*Z166</f>
        <v>0</v>
      </c>
      <c r="Z166" s="231">
        <f>IFERROR(X166/AA166,0)</f>
        <v>7.1170787675818078E-3</v>
      </c>
      <c r="AA166" s="53">
        <f t="shared" si="33"/>
        <v>16655.710000000003</v>
      </c>
      <c r="AB166" s="53">
        <f t="shared" si="34"/>
        <v>0</v>
      </c>
      <c r="AC166" s="62">
        <f t="shared" si="35"/>
        <v>1</v>
      </c>
      <c r="AE166" s="62">
        <f t="shared" si="51"/>
        <v>7.7757298279204612E-4</v>
      </c>
      <c r="AF166" s="62">
        <f t="shared" si="52"/>
        <v>0</v>
      </c>
      <c r="AG166" s="62">
        <f t="shared" si="53"/>
        <v>6.4998881692603614E-7</v>
      </c>
    </row>
    <row r="167" spans="2:33">
      <c r="B167" s="132" t="s">
        <v>317</v>
      </c>
      <c r="C167" s="138">
        <f>'version consolidée hors UE'!AO170</f>
        <v>548.38</v>
      </c>
      <c r="D167" s="22">
        <f t="shared" si="50"/>
        <v>2.591825469251373E-6</v>
      </c>
      <c r="E167" s="86">
        <f t="shared" si="54"/>
        <v>140</v>
      </c>
      <c r="P167"/>
      <c r="Q167" s="132" t="s">
        <v>317</v>
      </c>
      <c r="R167" s="53">
        <f>'version consolidée hors UE'!F170</f>
        <v>548.38</v>
      </c>
      <c r="S167" s="53">
        <f>'version consolidée hors UE'!AM170*T167</f>
        <v>0</v>
      </c>
      <c r="T167" s="62">
        <f t="shared" si="30"/>
        <v>1</v>
      </c>
      <c r="U167" s="53">
        <f>'version consolidée hors UE'!M170</f>
        <v>0</v>
      </c>
      <c r="V167" s="53">
        <f>'version consolidée hors UE'!AM170*W167</f>
        <v>0</v>
      </c>
      <c r="W167" s="231">
        <f t="shared" si="32"/>
        <v>0</v>
      </c>
      <c r="X167" s="53">
        <f>'version consolidée hors UE'!T170+'version consolidée hors UE'!AJ170+'version consolidée hors UE'!AL170</f>
        <v>0</v>
      </c>
      <c r="Y167" s="53">
        <f>'version consolidée hors UE'!AM170*Z167</f>
        <v>0</v>
      </c>
      <c r="Z167" s="231">
        <f t="shared" ref="Z167:Z189" si="55">IFERROR(X167/AA167,0)</f>
        <v>0</v>
      </c>
      <c r="AA167" s="53">
        <f t="shared" si="33"/>
        <v>548.38</v>
      </c>
      <c r="AB167" s="53">
        <f t="shared" si="34"/>
        <v>0</v>
      </c>
      <c r="AC167" s="62">
        <f t="shared" si="35"/>
        <v>1</v>
      </c>
      <c r="AE167" s="62">
        <f t="shared" si="51"/>
        <v>2.5784670067702166E-5</v>
      </c>
      <c r="AF167" s="62">
        <f t="shared" si="52"/>
        <v>0</v>
      </c>
      <c r="AG167" s="62">
        <f t="shared" si="53"/>
        <v>0</v>
      </c>
    </row>
    <row r="168" spans="2:33">
      <c r="B168" s="132" t="s">
        <v>318</v>
      </c>
      <c r="C168" s="138">
        <f>'version consolidée hors UE'!AO171</f>
        <v>4460.1799999999994</v>
      </c>
      <c r="D168" s="22">
        <f t="shared" si="50"/>
        <v>2.1080287613416951E-5</v>
      </c>
      <c r="E168" s="86">
        <f t="shared" si="54"/>
        <v>113</v>
      </c>
      <c r="P168"/>
      <c r="Q168" s="132" t="s">
        <v>318</v>
      </c>
      <c r="R168" s="53">
        <f>'version consolidée hors UE'!F171</f>
        <v>4437.4399999999996</v>
      </c>
      <c r="S168" s="53">
        <f>'version consolidée hors UE'!AM171*T168</f>
        <v>0</v>
      </c>
      <c r="T168" s="62">
        <f t="shared" si="30"/>
        <v>0.99490155105847755</v>
      </c>
      <c r="U168" s="53">
        <f>'version consolidée hors UE'!M171</f>
        <v>0</v>
      </c>
      <c r="V168" s="53">
        <f>'version consolidée hors UE'!AM171*W168</f>
        <v>0</v>
      </c>
      <c r="W168" s="231">
        <f t="shared" si="32"/>
        <v>0</v>
      </c>
      <c r="X168" s="53">
        <f>'version consolidée hors UE'!T171+'version consolidée hors UE'!AJ171+'version consolidée hors UE'!AL171</f>
        <v>22.74</v>
      </c>
      <c r="Y168" s="53">
        <f>'version consolidée hors UE'!AM171*Z168</f>
        <v>0</v>
      </c>
      <c r="Z168" s="231">
        <f t="shared" si="55"/>
        <v>5.0984489415225398E-3</v>
      </c>
      <c r="AA168" s="53">
        <f t="shared" si="33"/>
        <v>4460.1799999999994</v>
      </c>
      <c r="AB168" s="53">
        <f t="shared" si="34"/>
        <v>0</v>
      </c>
      <c r="AC168" s="62">
        <f t="shared" si="35"/>
        <v>1</v>
      </c>
      <c r="AE168" s="62">
        <f t="shared" si="51"/>
        <v>2.0864715406328512E-4</v>
      </c>
      <c r="AF168" s="62">
        <f t="shared" si="52"/>
        <v>0</v>
      </c>
      <c r="AG168" s="62">
        <f t="shared" si="53"/>
        <v>1.2468994176563235E-7</v>
      </c>
    </row>
    <row r="169" spans="2:33">
      <c r="B169" s="132" t="s">
        <v>319</v>
      </c>
      <c r="C169" s="138">
        <f>'version consolidée hors UE'!AO172</f>
        <v>2264.62</v>
      </c>
      <c r="D169" s="22">
        <f t="shared" si="50"/>
        <v>1.0703344020890702E-5</v>
      </c>
      <c r="E169" s="86">
        <f t="shared" si="54"/>
        <v>125</v>
      </c>
      <c r="P169"/>
      <c r="Q169" s="132" t="s">
        <v>319</v>
      </c>
      <c r="R169" s="53">
        <f>'version consolidée hors UE'!F172</f>
        <v>2264.62</v>
      </c>
      <c r="S169" s="53">
        <f>'version consolidée hors UE'!AM172*T169</f>
        <v>0</v>
      </c>
      <c r="T169" s="62">
        <f t="shared" si="30"/>
        <v>1</v>
      </c>
      <c r="U169" s="53">
        <f>'version consolidée hors UE'!M172</f>
        <v>0</v>
      </c>
      <c r="V169" s="53">
        <f>'version consolidée hors UE'!AM172*W169</f>
        <v>0</v>
      </c>
      <c r="W169" s="231">
        <f t="shared" si="32"/>
        <v>0</v>
      </c>
      <c r="X169" s="53">
        <f>'version consolidée hors UE'!T172+'version consolidée hors UE'!AJ172+'version consolidée hors UE'!AL172</f>
        <v>0</v>
      </c>
      <c r="Y169" s="53">
        <f>'version consolidée hors UE'!AM172*Z169</f>
        <v>0</v>
      </c>
      <c r="Z169" s="231">
        <f t="shared" si="55"/>
        <v>0</v>
      </c>
      <c r="AA169" s="53">
        <f t="shared" si="33"/>
        <v>2264.62</v>
      </c>
      <c r="AB169" s="53">
        <f t="shared" si="34"/>
        <v>0</v>
      </c>
      <c r="AC169" s="62">
        <f t="shared" si="35"/>
        <v>1</v>
      </c>
      <c r="AE169" s="62">
        <f t="shared" si="51"/>
        <v>1.0648178184601859E-4</v>
      </c>
      <c r="AF169" s="62">
        <f t="shared" si="52"/>
        <v>0</v>
      </c>
      <c r="AG169" s="62">
        <f t="shared" si="53"/>
        <v>0</v>
      </c>
    </row>
    <row r="170" spans="2:33">
      <c r="B170" s="132" t="s">
        <v>320</v>
      </c>
      <c r="C170" s="138">
        <f>'version consolidée hors UE'!AO173</f>
        <v>1257.1600000000001</v>
      </c>
      <c r="D170" s="22">
        <f t="shared" si="50"/>
        <v>5.9417544529779647E-6</v>
      </c>
      <c r="E170" s="86">
        <f t="shared" si="54"/>
        <v>133</v>
      </c>
      <c r="P170"/>
      <c r="Q170" s="132" t="s">
        <v>320</v>
      </c>
      <c r="R170" s="53">
        <f>'version consolidée hors UE'!F173</f>
        <v>1257.1600000000001</v>
      </c>
      <c r="S170" s="53">
        <f>'version consolidée hors UE'!AM173*T170</f>
        <v>0</v>
      </c>
      <c r="T170" s="62">
        <f t="shared" si="30"/>
        <v>1</v>
      </c>
      <c r="U170" s="53">
        <f>'version consolidée hors UE'!M173</f>
        <v>0</v>
      </c>
      <c r="V170" s="53">
        <f>'version consolidée hors UE'!AM173*W170</f>
        <v>0</v>
      </c>
      <c r="W170" s="231">
        <f t="shared" si="32"/>
        <v>0</v>
      </c>
      <c r="X170" s="53">
        <f>'version consolidée hors UE'!T173+'version consolidée hors UE'!AJ173+'version consolidée hors UE'!AL173</f>
        <v>0</v>
      </c>
      <c r="Y170" s="53">
        <f>'version consolidée hors UE'!AM173*Z170</f>
        <v>0</v>
      </c>
      <c r="Z170" s="231">
        <f t="shared" si="55"/>
        <v>0</v>
      </c>
      <c r="AA170" s="53">
        <f t="shared" si="33"/>
        <v>1257.1600000000001</v>
      </c>
      <c r="AB170" s="53">
        <f t="shared" si="34"/>
        <v>0</v>
      </c>
      <c r="AC170" s="62">
        <f t="shared" si="35"/>
        <v>1</v>
      </c>
      <c r="AE170" s="62">
        <f t="shared" si="51"/>
        <v>5.9111302057537576E-5</v>
      </c>
      <c r="AF170" s="62">
        <f t="shared" si="52"/>
        <v>0</v>
      </c>
      <c r="AG170" s="62">
        <f t="shared" si="53"/>
        <v>0</v>
      </c>
    </row>
    <row r="171" spans="2:33">
      <c r="B171" s="132" t="s">
        <v>321</v>
      </c>
      <c r="C171" s="138">
        <f>'version consolidée hors UE'!AO174</f>
        <v>184.59</v>
      </c>
      <c r="D171" s="22">
        <f t="shared" si="50"/>
        <v>8.7243346469439248E-7</v>
      </c>
      <c r="E171" s="86">
        <f t="shared" si="54"/>
        <v>156</v>
      </c>
      <c r="P171"/>
      <c r="Q171" s="132" t="s">
        <v>321</v>
      </c>
      <c r="R171" s="53">
        <f>'version consolidée hors UE'!F174</f>
        <v>184.59</v>
      </c>
      <c r="S171" s="53">
        <f>'version consolidée hors UE'!AM174*T171</f>
        <v>0</v>
      </c>
      <c r="T171" s="62">
        <f t="shared" si="30"/>
        <v>1</v>
      </c>
      <c r="U171" s="53">
        <f>'version consolidée hors UE'!M174</f>
        <v>0</v>
      </c>
      <c r="V171" s="53">
        <f>'version consolidée hors UE'!AM174*W171</f>
        <v>0</v>
      </c>
      <c r="W171" s="231">
        <f t="shared" si="32"/>
        <v>0</v>
      </c>
      <c r="X171" s="53">
        <f>'version consolidée hors UE'!T174+'version consolidée hors UE'!AJ174+'version consolidée hors UE'!AL174</f>
        <v>0</v>
      </c>
      <c r="Y171" s="53">
        <f>'version consolidée hors UE'!AM174*Z171</f>
        <v>0</v>
      </c>
      <c r="Z171" s="231">
        <f t="shared" si="55"/>
        <v>0</v>
      </c>
      <c r="AA171" s="53">
        <f t="shared" si="33"/>
        <v>184.59</v>
      </c>
      <c r="AB171" s="53">
        <f t="shared" si="34"/>
        <v>0</v>
      </c>
      <c r="AC171" s="62">
        <f t="shared" si="35"/>
        <v>1</v>
      </c>
      <c r="AE171" s="62">
        <f t="shared" si="51"/>
        <v>8.6793687731083241E-6</v>
      </c>
      <c r="AF171" s="62">
        <f t="shared" si="52"/>
        <v>0</v>
      </c>
      <c r="AG171" s="62">
        <f t="shared" si="53"/>
        <v>0</v>
      </c>
    </row>
    <row r="172" spans="2:33">
      <c r="B172" s="132" t="s">
        <v>322</v>
      </c>
      <c r="C172" s="138">
        <f>'version consolidée hors UE'!AO175</f>
        <v>0</v>
      </c>
      <c r="D172" s="22">
        <f t="shared" si="50"/>
        <v>0</v>
      </c>
      <c r="E172" s="86">
        <f t="shared" si="54"/>
        <v>168</v>
      </c>
      <c r="P172"/>
      <c r="Q172" s="132" t="s">
        <v>322</v>
      </c>
      <c r="R172" s="53">
        <f>'version consolidée hors UE'!F175</f>
        <v>0</v>
      </c>
      <c r="S172" s="53">
        <f>'version consolidée hors UE'!AM175*T172</f>
        <v>0</v>
      </c>
      <c r="T172" s="62">
        <f t="shared" si="30"/>
        <v>0</v>
      </c>
      <c r="U172" s="53">
        <f>'version consolidée hors UE'!M175</f>
        <v>0</v>
      </c>
      <c r="V172" s="53">
        <f>'version consolidée hors UE'!AM175*W172</f>
        <v>0</v>
      </c>
      <c r="W172" s="231">
        <f t="shared" si="32"/>
        <v>0</v>
      </c>
      <c r="X172" s="53">
        <f>'version consolidée hors UE'!T175+'version consolidée hors UE'!AJ175+'version consolidée hors UE'!AL175</f>
        <v>0</v>
      </c>
      <c r="Y172" s="53">
        <f>'version consolidée hors UE'!AM175*Z172</f>
        <v>0</v>
      </c>
      <c r="Z172" s="231">
        <f t="shared" si="55"/>
        <v>0</v>
      </c>
      <c r="AA172" s="53">
        <f t="shared" si="33"/>
        <v>0</v>
      </c>
      <c r="AB172" s="53">
        <f t="shared" si="34"/>
        <v>0</v>
      </c>
      <c r="AC172" s="62">
        <f t="shared" si="35"/>
        <v>0</v>
      </c>
      <c r="AE172" s="62">
        <f t="shared" si="51"/>
        <v>0</v>
      </c>
      <c r="AF172" s="62">
        <f t="shared" si="52"/>
        <v>0</v>
      </c>
      <c r="AG172" s="62">
        <f t="shared" si="53"/>
        <v>0</v>
      </c>
    </row>
    <row r="173" spans="2:33">
      <c r="B173" s="132" t="s">
        <v>323</v>
      </c>
      <c r="C173" s="138">
        <f>'version consolidée hors UE'!AO176</f>
        <v>341.24</v>
      </c>
      <c r="D173" s="22">
        <f t="shared" si="50"/>
        <v>1.612813237403513E-6</v>
      </c>
      <c r="E173" s="86">
        <f t="shared" si="54"/>
        <v>147</v>
      </c>
      <c r="P173"/>
      <c r="Q173" s="132" t="s">
        <v>323</v>
      </c>
      <c r="R173" s="53">
        <f>'version consolidée hors UE'!F176</f>
        <v>304.89999999999998</v>
      </c>
      <c r="S173" s="53">
        <f>'version consolidée hors UE'!AM176*T173</f>
        <v>0</v>
      </c>
      <c r="T173" s="62">
        <f t="shared" si="30"/>
        <v>0.8935060368069393</v>
      </c>
      <c r="U173" s="53">
        <f>'version consolidée hors UE'!M176</f>
        <v>0</v>
      </c>
      <c r="V173" s="53">
        <f>'version consolidée hors UE'!AM176*W173</f>
        <v>0</v>
      </c>
      <c r="W173" s="231">
        <f t="shared" si="32"/>
        <v>0</v>
      </c>
      <c r="X173" s="53">
        <f>'version consolidée hors UE'!T176+'version consolidée hors UE'!AJ176+'version consolidée hors UE'!AL176</f>
        <v>36.340000000000003</v>
      </c>
      <c r="Y173" s="53">
        <f>'version consolidée hors UE'!AM176*Z173</f>
        <v>0</v>
      </c>
      <c r="Z173" s="231">
        <f t="shared" si="55"/>
        <v>0.10649396319306061</v>
      </c>
      <c r="AA173" s="53">
        <f t="shared" si="33"/>
        <v>341.24</v>
      </c>
      <c r="AB173" s="53">
        <f t="shared" si="34"/>
        <v>0</v>
      </c>
      <c r="AC173" s="62">
        <f t="shared" si="35"/>
        <v>0.99999999999999989</v>
      </c>
      <c r="AE173" s="62">
        <f t="shared" si="51"/>
        <v>1.433631041183557E-5</v>
      </c>
      <c r="AF173" s="62">
        <f t="shared" si="52"/>
        <v>0</v>
      </c>
      <c r="AG173" s="62">
        <f t="shared" si="53"/>
        <v>1.9926264220594021E-7</v>
      </c>
    </row>
    <row r="174" spans="2:33">
      <c r="B174" s="86" t="s">
        <v>38</v>
      </c>
      <c r="C174" s="138">
        <f>'version consolidée hors UE'!AO177</f>
        <v>9912414.2902603</v>
      </c>
      <c r="D174" s="22">
        <f t="shared" si="50"/>
        <v>4.6849352309106668E-2</v>
      </c>
      <c r="E174" s="86">
        <f t="shared" si="54"/>
        <v>5</v>
      </c>
      <c r="P174"/>
      <c r="Q174" s="86" t="s">
        <v>38</v>
      </c>
      <c r="R174" s="53">
        <f>'version consolidée hors UE'!F177</f>
        <v>1394820.14</v>
      </c>
      <c r="S174" s="53">
        <f>'version consolidée hors UE'!AM177*T174</f>
        <v>0</v>
      </c>
      <c r="T174" s="62">
        <f t="shared" si="30"/>
        <v>0.14071447168733822</v>
      </c>
      <c r="U174" s="53">
        <f>'version consolidée hors UE'!M177</f>
        <v>1509039.12</v>
      </c>
      <c r="V174" s="53">
        <f>'version consolidée hors UE'!AM177*W174</f>
        <v>0</v>
      </c>
      <c r="W174" s="231">
        <f t="shared" si="32"/>
        <v>0.15223729313682396</v>
      </c>
      <c r="X174" s="53">
        <f>'version consolidée hors UE'!T177+'version consolidée hors UE'!AJ177+'version consolidée hors UE'!AL177</f>
        <v>7008555.0302603003</v>
      </c>
      <c r="Y174" s="53">
        <f>'version consolidée hors UE'!AM177*Z174</f>
        <v>0</v>
      </c>
      <c r="Z174" s="231">
        <f t="shared" si="55"/>
        <v>0.70704823517583781</v>
      </c>
      <c r="AA174" s="53">
        <f t="shared" si="33"/>
        <v>9912414.2902603</v>
      </c>
      <c r="AB174" s="53">
        <f t="shared" si="34"/>
        <v>0</v>
      </c>
      <c r="AC174" s="62">
        <f t="shared" si="35"/>
        <v>1</v>
      </c>
      <c r="AE174" s="62">
        <f t="shared" si="51"/>
        <v>6.5584042294916198E-2</v>
      </c>
      <c r="AF174" s="62">
        <f t="shared" si="52"/>
        <v>0.19004188744568457</v>
      </c>
      <c r="AG174" s="62">
        <f t="shared" si="53"/>
        <v>3.8429917264045148E-2</v>
      </c>
    </row>
    <row r="175" spans="2:33">
      <c r="B175" s="86" t="s">
        <v>171</v>
      </c>
      <c r="C175" s="138">
        <f>'version consolidée hors UE'!AO178</f>
        <v>163.85</v>
      </c>
      <c r="D175" s="22">
        <f t="shared" si="50"/>
        <v>7.744093569000281E-7</v>
      </c>
      <c r="E175" s="86">
        <f t="shared" si="54"/>
        <v>157</v>
      </c>
      <c r="P175"/>
      <c r="Q175" s="86" t="s">
        <v>171</v>
      </c>
      <c r="R175" s="53">
        <f>'version consolidée hors UE'!F178</f>
        <v>87.58</v>
      </c>
      <c r="S175" s="53">
        <f>'version consolidée hors UE'!AM178*T175</f>
        <v>0</v>
      </c>
      <c r="T175" s="62">
        <f t="shared" si="30"/>
        <v>0.53451327433628315</v>
      </c>
      <c r="U175" s="53">
        <f>'version consolidée hors UE'!M178</f>
        <v>0</v>
      </c>
      <c r="V175" s="53">
        <f>'version consolidée hors UE'!AM178*W175</f>
        <v>0</v>
      </c>
      <c r="W175" s="231">
        <f t="shared" si="32"/>
        <v>0</v>
      </c>
      <c r="X175" s="53">
        <f>'version consolidée hors UE'!T178+'version consolidée hors UE'!AJ178+'version consolidée hors UE'!AL178</f>
        <v>76.27</v>
      </c>
      <c r="Y175" s="53">
        <f>'version consolidée hors UE'!AM178*Z175</f>
        <v>0</v>
      </c>
      <c r="Z175" s="231">
        <f t="shared" si="55"/>
        <v>0.46548672566371679</v>
      </c>
      <c r="AA175" s="53">
        <f t="shared" si="33"/>
        <v>163.85</v>
      </c>
      <c r="AB175" s="53">
        <f t="shared" si="34"/>
        <v>0</v>
      </c>
      <c r="AC175" s="62">
        <f t="shared" si="35"/>
        <v>1</v>
      </c>
      <c r="AE175" s="62">
        <f t="shared" si="51"/>
        <v>4.1179864410251209E-6</v>
      </c>
      <c r="AF175" s="62">
        <f t="shared" si="52"/>
        <v>0</v>
      </c>
      <c r="AG175" s="62">
        <f t="shared" si="53"/>
        <v>4.1821028401340282E-7</v>
      </c>
    </row>
    <row r="176" spans="2:33">
      <c r="B176" s="86" t="s">
        <v>145</v>
      </c>
      <c r="C176" s="138">
        <f>'version consolidée hors UE'!AO179</f>
        <v>8552911.5730256513</v>
      </c>
      <c r="D176" s="22">
        <f t="shared" si="50"/>
        <v>4.0423892284953328E-2</v>
      </c>
      <c r="E176" s="86">
        <f t="shared" si="54"/>
        <v>6</v>
      </c>
      <c r="F176" s="275"/>
      <c r="P176"/>
      <c r="Q176" s="86" t="s">
        <v>145</v>
      </c>
      <c r="R176" s="53">
        <f>'version consolidée hors UE'!F179</f>
        <v>1054089.3099999998</v>
      </c>
      <c r="S176" s="53">
        <f>'version consolidée hors UE'!AM179*T176</f>
        <v>84641.785164674322</v>
      </c>
      <c r="T176" s="62">
        <f t="shared" si="30"/>
        <v>0.12324333076521081</v>
      </c>
      <c r="U176" s="53">
        <f>'version consolidée hors UE'!M179</f>
        <v>178839.38</v>
      </c>
      <c r="V176" s="53">
        <f>'version consolidée hors UE'!AM179*W176</f>
        <v>14360.533056675773</v>
      </c>
      <c r="W176" s="231">
        <f t="shared" si="32"/>
        <v>2.0909766045521541E-2</v>
      </c>
      <c r="X176" s="53">
        <f>'version consolidée hors UE'!T179+'version consolidée hors UE'!AJ179+'version consolidée hors UE'!AL179</f>
        <v>7319982.8830256518</v>
      </c>
      <c r="Y176" s="53">
        <f>'version consolidée hors UE'!AM179*Z176</f>
        <v>587783.60876665253</v>
      </c>
      <c r="Z176" s="231">
        <f t="shared" si="55"/>
        <v>0.8558469031892677</v>
      </c>
      <c r="AA176" s="53">
        <f t="shared" si="33"/>
        <v>8552911.5730256513</v>
      </c>
      <c r="AB176" s="53">
        <f t="shared" si="34"/>
        <v>686785.92698800261</v>
      </c>
      <c r="AC176" s="62">
        <f t="shared" si="35"/>
        <v>1</v>
      </c>
      <c r="AE176" s="62">
        <f t="shared" si="51"/>
        <v>4.9562976549549262E-2</v>
      </c>
      <c r="AF176" s="62">
        <f t="shared" si="52"/>
        <v>2.2522261268359968E-2</v>
      </c>
      <c r="AG176" s="62">
        <f t="shared" si="53"/>
        <v>4.0137565497356829E-2</v>
      </c>
    </row>
    <row r="177" spans="2:33">
      <c r="B177" s="132" t="s">
        <v>324</v>
      </c>
      <c r="C177" s="138">
        <f>'version consolidée hors UE'!AO180</f>
        <v>0</v>
      </c>
      <c r="D177" s="22">
        <f t="shared" si="50"/>
        <v>0</v>
      </c>
      <c r="E177" s="86">
        <f t="shared" si="54"/>
        <v>168</v>
      </c>
      <c r="P177"/>
      <c r="Q177" s="132" t="s">
        <v>324</v>
      </c>
      <c r="R177" s="53">
        <f>'version consolidée hors UE'!F180</f>
        <v>0</v>
      </c>
      <c r="S177" s="53">
        <f>'version consolidée hors UE'!AM180*T177</f>
        <v>0</v>
      </c>
      <c r="T177" s="62">
        <f t="shared" si="30"/>
        <v>0</v>
      </c>
      <c r="U177" s="53">
        <f>'version consolidée hors UE'!M180</f>
        <v>0</v>
      </c>
      <c r="V177" s="53">
        <f>'version consolidée hors UE'!AM180*W177</f>
        <v>0</v>
      </c>
      <c r="W177" s="231">
        <f t="shared" si="32"/>
        <v>0</v>
      </c>
      <c r="X177" s="53">
        <f>'version consolidée hors UE'!T180+'version consolidée hors UE'!AJ180+'version consolidée hors UE'!AL180</f>
        <v>0</v>
      </c>
      <c r="Y177" s="53">
        <f>'version consolidée hors UE'!AM180*Z177</f>
        <v>0</v>
      </c>
      <c r="Z177" s="231">
        <f t="shared" si="55"/>
        <v>0</v>
      </c>
      <c r="AA177" s="53">
        <f t="shared" si="33"/>
        <v>0</v>
      </c>
      <c r="AB177" s="53">
        <f t="shared" si="34"/>
        <v>0</v>
      </c>
      <c r="AC177" s="62">
        <f t="shared" si="35"/>
        <v>0</v>
      </c>
      <c r="AE177" s="62">
        <f t="shared" si="51"/>
        <v>0</v>
      </c>
      <c r="AF177" s="62">
        <f t="shared" si="52"/>
        <v>0</v>
      </c>
      <c r="AG177" s="62">
        <f t="shared" si="53"/>
        <v>0</v>
      </c>
    </row>
    <row r="178" spans="2:33">
      <c r="B178" s="86" t="s">
        <v>146</v>
      </c>
      <c r="C178" s="138">
        <f>'version consolidée hors UE'!AO181</f>
        <v>16682.269999999997</v>
      </c>
      <c r="D178" s="22">
        <f t="shared" si="50"/>
        <v>7.8845932147284892E-5</v>
      </c>
      <c r="E178" s="86">
        <f t="shared" si="54"/>
        <v>83</v>
      </c>
      <c r="P178"/>
      <c r="Q178" s="86" t="s">
        <v>146</v>
      </c>
      <c r="R178" s="53">
        <f>'version consolidée hors UE'!F181</f>
        <v>13813.359999999999</v>
      </c>
      <c r="S178" s="53">
        <f>'version consolidée hors UE'!AM181*T178</f>
        <v>0</v>
      </c>
      <c r="T178" s="62">
        <f t="shared" si="30"/>
        <v>0.82802640168274466</v>
      </c>
      <c r="U178" s="53">
        <f>'version consolidée hors UE'!M181</f>
        <v>0</v>
      </c>
      <c r="V178" s="53">
        <f>'version consolidée hors UE'!AM181*W178</f>
        <v>0</v>
      </c>
      <c r="W178" s="231">
        <f t="shared" si="32"/>
        <v>0</v>
      </c>
      <c r="X178" s="53">
        <f>'version consolidée hors UE'!T181+'version consolidée hors UE'!AJ181+'version consolidée hors UE'!AL181</f>
        <v>2868.91</v>
      </c>
      <c r="Y178" s="53">
        <f>'version consolidée hors UE'!AM181*Z178</f>
        <v>0</v>
      </c>
      <c r="Z178" s="231">
        <f t="shared" si="55"/>
        <v>0.17197359831725542</v>
      </c>
      <c r="AA178" s="53">
        <f t="shared" si="33"/>
        <v>16682.269999999997</v>
      </c>
      <c r="AB178" s="53">
        <f t="shared" si="34"/>
        <v>0</v>
      </c>
      <c r="AC178" s="62">
        <f t="shared" si="35"/>
        <v>1</v>
      </c>
      <c r="AE178" s="62">
        <f t="shared" si="51"/>
        <v>6.4950021905684809E-4</v>
      </c>
      <c r="AF178" s="62">
        <f t="shared" si="52"/>
        <v>0</v>
      </c>
      <c r="AG178" s="62">
        <f t="shared" si="53"/>
        <v>1.5731056325014967E-5</v>
      </c>
    </row>
    <row r="179" spans="2:33">
      <c r="B179" s="86" t="s">
        <v>147</v>
      </c>
      <c r="C179" s="138">
        <f>'version consolidée hors UE'!AO182</f>
        <v>18231.169999999998</v>
      </c>
      <c r="D179" s="22">
        <f t="shared" si="50"/>
        <v>8.6166546446353893E-5</v>
      </c>
      <c r="E179" s="86">
        <f t="shared" si="54"/>
        <v>78</v>
      </c>
      <c r="P179"/>
      <c r="Q179" s="86" t="s">
        <v>147</v>
      </c>
      <c r="R179" s="53">
        <f>'version consolidée hors UE'!F182</f>
        <v>8192.42</v>
      </c>
      <c r="S179" s="53">
        <f>'version consolidée hors UE'!AM182*T179</f>
        <v>0</v>
      </c>
      <c r="T179" s="62">
        <f t="shared" si="30"/>
        <v>0.44936337053518788</v>
      </c>
      <c r="U179" s="53">
        <f>'version consolidée hors UE'!M182</f>
        <v>0</v>
      </c>
      <c r="V179" s="53">
        <f>'version consolidée hors UE'!AM182*W179</f>
        <v>0</v>
      </c>
      <c r="W179" s="231">
        <f t="shared" si="32"/>
        <v>0</v>
      </c>
      <c r="X179" s="53">
        <f>'version consolidée hors UE'!T182+'version consolidée hors UE'!AJ182+'version consolidée hors UE'!AL182</f>
        <v>10038.749999999998</v>
      </c>
      <c r="Y179" s="53">
        <f>'version consolidée hors UE'!AM182*Z179</f>
        <v>0</v>
      </c>
      <c r="Z179" s="231">
        <f t="shared" si="55"/>
        <v>0.55063662946481218</v>
      </c>
      <c r="AA179" s="53">
        <f t="shared" si="33"/>
        <v>18231.169999999998</v>
      </c>
      <c r="AB179" s="53">
        <f t="shared" si="34"/>
        <v>0</v>
      </c>
      <c r="AC179" s="62">
        <f t="shared" si="35"/>
        <v>1</v>
      </c>
      <c r="AE179" s="62">
        <f t="shared" si="51"/>
        <v>3.8520523497582803E-4</v>
      </c>
      <c r="AF179" s="62">
        <f t="shared" si="52"/>
        <v>0</v>
      </c>
      <c r="AG179" s="62">
        <f t="shared" si="53"/>
        <v>5.504534533420148E-5</v>
      </c>
    </row>
    <row r="180" spans="2:33">
      <c r="B180" s="132" t="s">
        <v>325</v>
      </c>
      <c r="C180" s="138">
        <f>'version consolidée hors UE'!AO183</f>
        <v>17291.600000000002</v>
      </c>
      <c r="D180" s="22">
        <f t="shared" si="50"/>
        <v>8.17258274993746E-5</v>
      </c>
      <c r="E180" s="86">
        <f t="shared" si="54"/>
        <v>80</v>
      </c>
      <c r="P180"/>
      <c r="Q180" s="132" t="s">
        <v>325</v>
      </c>
      <c r="R180" s="53">
        <f>'version consolidée hors UE'!F183</f>
        <v>641.54000000000008</v>
      </c>
      <c r="S180" s="53">
        <f>'version consolidée hors UE'!AM183*T180</f>
        <v>0</v>
      </c>
      <c r="T180" s="62">
        <f t="shared" si="30"/>
        <v>3.7101251474704479E-2</v>
      </c>
      <c r="U180" s="53">
        <f>'version consolidée hors UE'!M183</f>
        <v>0</v>
      </c>
      <c r="V180" s="53">
        <f>'version consolidée hors UE'!AM183*W180</f>
        <v>0</v>
      </c>
      <c r="W180" s="231">
        <f t="shared" si="32"/>
        <v>0</v>
      </c>
      <c r="X180" s="53">
        <f>'version consolidée hors UE'!T183+'version consolidée hors UE'!AJ183+'version consolidée hors UE'!AL183</f>
        <v>16650.060000000001</v>
      </c>
      <c r="Y180" s="53">
        <f>'version consolidée hors UE'!AM183*Z180</f>
        <v>0</v>
      </c>
      <c r="Z180" s="231">
        <f t="shared" si="55"/>
        <v>0.96289874852529544</v>
      </c>
      <c r="AA180" s="53">
        <f t="shared" si="33"/>
        <v>17291.600000000002</v>
      </c>
      <c r="AB180" s="53">
        <f t="shared" si="34"/>
        <v>0</v>
      </c>
      <c r="AC180" s="62">
        <f t="shared" si="35"/>
        <v>0.99999999999999989</v>
      </c>
      <c r="AE180" s="62">
        <f t="shared" si="51"/>
        <v>3.0165026505769083E-5</v>
      </c>
      <c r="AF180" s="62">
        <f t="shared" si="52"/>
        <v>0</v>
      </c>
      <c r="AG180" s="62">
        <f t="shared" si="53"/>
        <v>9.129705416861411E-5</v>
      </c>
    </row>
    <row r="181" spans="2:33">
      <c r="B181" s="132" t="s">
        <v>326</v>
      </c>
      <c r="C181" s="138">
        <f>'version consolidée hors UE'!AO184</f>
        <v>493.09000000000003</v>
      </c>
      <c r="D181" s="22">
        <f t="shared" si="50"/>
        <v>2.3305066206520289E-6</v>
      </c>
      <c r="E181" s="86">
        <f t="shared" si="54"/>
        <v>141</v>
      </c>
      <c r="P181"/>
      <c r="Q181" s="132" t="s">
        <v>326</v>
      </c>
      <c r="R181" s="53">
        <f>'version consolidée hors UE'!F184</f>
        <v>415.18</v>
      </c>
      <c r="S181" s="53">
        <f>'version consolidée hors UE'!AM184*T181</f>
        <v>0</v>
      </c>
      <c r="T181" s="62">
        <f t="shared" si="30"/>
        <v>0.84199639011133864</v>
      </c>
      <c r="U181" s="53">
        <f>'version consolidée hors UE'!M184</f>
        <v>0</v>
      </c>
      <c r="V181" s="53">
        <f>'version consolidée hors UE'!AM184*W181</f>
        <v>0</v>
      </c>
      <c r="W181" s="231">
        <f t="shared" si="32"/>
        <v>0</v>
      </c>
      <c r="X181" s="53">
        <f>'version consolidée hors UE'!T184+'version consolidée hors UE'!AJ184+'version consolidée hors UE'!AL184</f>
        <v>77.91</v>
      </c>
      <c r="Y181" s="53">
        <f>'version consolidée hors UE'!AM184*Z181</f>
        <v>0</v>
      </c>
      <c r="Z181" s="231">
        <f t="shared" si="55"/>
        <v>0.15800360988866127</v>
      </c>
      <c r="AA181" s="53">
        <f t="shared" si="33"/>
        <v>493.09000000000003</v>
      </c>
      <c r="AB181" s="53">
        <f t="shared" si="34"/>
        <v>0</v>
      </c>
      <c r="AC181" s="62">
        <f t="shared" si="35"/>
        <v>0.99999999999999989</v>
      </c>
      <c r="AE181" s="62">
        <f t="shared" si="51"/>
        <v>1.9521644331865832E-5</v>
      </c>
      <c r="AF181" s="62">
        <f t="shared" si="52"/>
        <v>0</v>
      </c>
      <c r="AG181" s="62">
        <f t="shared" si="53"/>
        <v>4.272028743606164E-7</v>
      </c>
    </row>
    <row r="182" spans="2:33">
      <c r="B182" s="86" t="s">
        <v>172</v>
      </c>
      <c r="C182" s="138">
        <f>'version consolidée hors UE'!AO185</f>
        <v>48088.93</v>
      </c>
      <c r="D182" s="22">
        <f t="shared" ref="D182:D187" si="56">C182/$C$190</f>
        <v>2.2728420723411945E-4</v>
      </c>
      <c r="E182" s="86">
        <f t="shared" ref="E182:E189" si="57">RANK(C182,$C$4:$C$189)</f>
        <v>58</v>
      </c>
      <c r="P182"/>
      <c r="Q182" s="86" t="s">
        <v>172</v>
      </c>
      <c r="R182" s="53">
        <f>'version consolidée hors UE'!F185</f>
        <v>1885.0700000000002</v>
      </c>
      <c r="S182" s="53">
        <f>'version consolidée hors UE'!AM185*T182</f>
        <v>0</v>
      </c>
      <c r="T182" s="62">
        <f t="shared" si="30"/>
        <v>3.9199666118584886E-2</v>
      </c>
      <c r="U182" s="53">
        <f>'version consolidée hors UE'!M185</f>
        <v>0</v>
      </c>
      <c r="V182" s="53">
        <f>'version consolidée hors UE'!AM185*W182</f>
        <v>0</v>
      </c>
      <c r="W182" s="231">
        <f t="shared" si="32"/>
        <v>0</v>
      </c>
      <c r="X182" s="53">
        <f>'version consolidée hors UE'!T185+'version consolidée hors UE'!AJ185+'version consolidée hors UE'!AL185</f>
        <v>46203.86</v>
      </c>
      <c r="Y182" s="53">
        <f>'version consolidée hors UE'!AM185*Z182</f>
        <v>0</v>
      </c>
      <c r="Z182" s="231">
        <f t="shared" si="55"/>
        <v>0.96080033388141517</v>
      </c>
      <c r="AA182" s="53">
        <f t="shared" si="33"/>
        <v>48088.93</v>
      </c>
      <c r="AB182" s="53">
        <f t="shared" si="34"/>
        <v>0</v>
      </c>
      <c r="AC182" s="62">
        <f t="shared" si="35"/>
        <v>1</v>
      </c>
      <c r="AE182" s="62">
        <f t="shared" ref="AE182:AE188" si="58">R182/$R$190</f>
        <v>8.8635449878776262E-5</v>
      </c>
      <c r="AF182" s="62">
        <f t="shared" ref="AF182:AF188" si="59">U182/$U$190</f>
        <v>0</v>
      </c>
      <c r="AG182" s="62">
        <f t="shared" ref="AG182:AG188" si="60">X182/$X$190</f>
        <v>2.5334901551220013E-4</v>
      </c>
    </row>
    <row r="183" spans="2:33">
      <c r="B183" s="86" t="s">
        <v>148</v>
      </c>
      <c r="C183" s="138">
        <f>'version consolidée hors UE'!AO186</f>
        <v>513793.27</v>
      </c>
      <c r="D183" s="22">
        <f t="shared" si="56"/>
        <v>2.4283571303037078E-3</v>
      </c>
      <c r="E183" s="86">
        <f t="shared" si="57"/>
        <v>20</v>
      </c>
      <c r="P183"/>
      <c r="Q183" s="86" t="s">
        <v>148</v>
      </c>
      <c r="R183" s="53">
        <f>'version consolidée hors UE'!F186</f>
        <v>386098.66</v>
      </c>
      <c r="S183" s="53">
        <f>'version consolidée hors UE'!AM186*T183</f>
        <v>0</v>
      </c>
      <c r="T183" s="62">
        <f t="shared" si="30"/>
        <v>0.75146694700769423</v>
      </c>
      <c r="U183" s="53">
        <f>'version consolidée hors UE'!M186</f>
        <v>690.4</v>
      </c>
      <c r="V183" s="53">
        <f>'version consolidée hors UE'!AM186*W183</f>
        <v>0</v>
      </c>
      <c r="W183" s="231">
        <f t="shared" si="32"/>
        <v>1.3437311080388421E-3</v>
      </c>
      <c r="X183" s="53">
        <f>'version consolidée hors UE'!T186+'version consolidée hors UE'!AJ186+'version consolidée hors UE'!AL186</f>
        <v>127004.20999999999</v>
      </c>
      <c r="Y183" s="53">
        <f>'version consolidée hors UE'!AM186*Z183</f>
        <v>0</v>
      </c>
      <c r="Z183" s="231">
        <f t="shared" si="55"/>
        <v>0.24718932188426676</v>
      </c>
      <c r="AA183" s="53">
        <f t="shared" si="33"/>
        <v>513793.27</v>
      </c>
      <c r="AB183" s="53">
        <f t="shared" si="34"/>
        <v>0</v>
      </c>
      <c r="AC183" s="62">
        <f t="shared" si="35"/>
        <v>0.99999999999999989</v>
      </c>
      <c r="AE183" s="62">
        <f t="shared" si="58"/>
        <v>1.8154248079218633E-2</v>
      </c>
      <c r="AF183" s="62">
        <f t="shared" si="59"/>
        <v>8.6946002494952288E-5</v>
      </c>
      <c r="AG183" s="62">
        <f t="shared" si="60"/>
        <v>6.9640050786676092E-4</v>
      </c>
    </row>
    <row r="184" spans="2:33">
      <c r="B184" s="132" t="s">
        <v>327</v>
      </c>
      <c r="C184" s="138">
        <f>'version consolidée hors UE'!AO187</f>
        <v>85.07</v>
      </c>
      <c r="D184" s="22">
        <f t="shared" si="56"/>
        <v>4.0206898987784799E-7</v>
      </c>
      <c r="E184" s="86">
        <f t="shared" si="57"/>
        <v>159</v>
      </c>
      <c r="P184"/>
      <c r="Q184" s="132" t="s">
        <v>327</v>
      </c>
      <c r="R184" s="53">
        <f>'version consolidée hors UE'!F187</f>
        <v>40.29</v>
      </c>
      <c r="S184" s="53">
        <f>'version consolidée hors UE'!AM187*T184</f>
        <v>0</v>
      </c>
      <c r="T184" s="62">
        <f t="shared" si="30"/>
        <v>0.47360996826143181</v>
      </c>
      <c r="U184" s="53">
        <f>'version consolidée hors UE'!M187</f>
        <v>0</v>
      </c>
      <c r="V184" s="53">
        <f>'version consolidée hors UE'!AM187*W184</f>
        <v>0</v>
      </c>
      <c r="W184" s="231">
        <f t="shared" si="32"/>
        <v>0</v>
      </c>
      <c r="X184" s="53">
        <f>'version consolidée hors UE'!T187+'version consolidée hors UE'!AJ187+'version consolidée hors UE'!AL187</f>
        <v>44.78</v>
      </c>
      <c r="Y184" s="53">
        <f>'version consolidée hors UE'!AM187*Z184</f>
        <v>0</v>
      </c>
      <c r="Z184" s="231">
        <f t="shared" si="55"/>
        <v>0.52639003173856824</v>
      </c>
      <c r="AA184" s="53">
        <f t="shared" si="33"/>
        <v>85.07</v>
      </c>
      <c r="AB184" s="53">
        <f t="shared" si="34"/>
        <v>0</v>
      </c>
      <c r="AC184" s="62">
        <f t="shared" si="35"/>
        <v>1</v>
      </c>
      <c r="AE184" s="62">
        <f t="shared" si="58"/>
        <v>1.8944242259522962E-6</v>
      </c>
      <c r="AF184" s="62">
        <f t="shared" si="59"/>
        <v>0</v>
      </c>
      <c r="AG184" s="62">
        <f t="shared" si="60"/>
        <v>2.4554158277330771E-7</v>
      </c>
    </row>
    <row r="185" spans="2:33">
      <c r="B185" s="86" t="s">
        <v>173</v>
      </c>
      <c r="C185" s="138">
        <f>'version consolidée hors UE'!AO188</f>
        <v>0</v>
      </c>
      <c r="D185" s="22">
        <f t="shared" si="56"/>
        <v>0</v>
      </c>
      <c r="E185" s="86">
        <f t="shared" si="57"/>
        <v>168</v>
      </c>
      <c r="P185"/>
      <c r="Q185" s="86" t="s">
        <v>173</v>
      </c>
      <c r="R185" s="53">
        <f>'version consolidée hors UE'!F188</f>
        <v>0</v>
      </c>
      <c r="S185" s="53">
        <f>'version consolidée hors UE'!AM188*T185</f>
        <v>0</v>
      </c>
      <c r="T185" s="62">
        <f t="shared" si="30"/>
        <v>0</v>
      </c>
      <c r="U185" s="53">
        <f>'version consolidée hors UE'!M188</f>
        <v>0</v>
      </c>
      <c r="V185" s="53">
        <f>'version consolidée hors UE'!AM188*W185</f>
        <v>0</v>
      </c>
      <c r="W185" s="231">
        <f t="shared" si="32"/>
        <v>0</v>
      </c>
      <c r="X185" s="53">
        <f>'version consolidée hors UE'!T188+'version consolidée hors UE'!AJ188+'version consolidée hors UE'!AL188</f>
        <v>0</v>
      </c>
      <c r="Y185" s="53">
        <f>'version consolidée hors UE'!AM188*Z185</f>
        <v>0</v>
      </c>
      <c r="Z185" s="231">
        <f t="shared" si="55"/>
        <v>0</v>
      </c>
      <c r="AA185" s="53">
        <f t="shared" si="33"/>
        <v>0</v>
      </c>
      <c r="AB185" s="53">
        <f t="shared" si="34"/>
        <v>0</v>
      </c>
      <c r="AC185" s="62">
        <f t="shared" si="35"/>
        <v>0</v>
      </c>
      <c r="AE185" s="62">
        <f>R185/$R$190</f>
        <v>0</v>
      </c>
      <c r="AF185" s="62">
        <f>U185/$U$190</f>
        <v>0</v>
      </c>
      <c r="AG185" s="62">
        <f t="shared" si="60"/>
        <v>0</v>
      </c>
    </row>
    <row r="186" spans="2:33">
      <c r="B186" s="86" t="s">
        <v>149</v>
      </c>
      <c r="C186" s="138">
        <f>'version consolidée hors UE'!AO189</f>
        <v>2951.7</v>
      </c>
      <c r="D186" s="22">
        <f t="shared" si="56"/>
        <v>1.3950711618930808E-5</v>
      </c>
      <c r="E186" s="86">
        <f t="shared" si="57"/>
        <v>118</v>
      </c>
      <c r="P186"/>
      <c r="Q186" s="86" t="s">
        <v>149</v>
      </c>
      <c r="R186" s="53">
        <f>'version consolidée hors UE'!F189</f>
        <v>202.31</v>
      </c>
      <c r="S186" s="53">
        <f>'version consolidée hors UE'!AM189*T186</f>
        <v>0</v>
      </c>
      <c r="T186" s="62">
        <f t="shared" si="30"/>
        <v>6.8540163295727888E-2</v>
      </c>
      <c r="U186" s="53">
        <f>'version consolidée hors UE'!M189</f>
        <v>0</v>
      </c>
      <c r="V186" s="53">
        <f>'version consolidée hors UE'!AM189*W186</f>
        <v>0</v>
      </c>
      <c r="W186" s="231">
        <f t="shared" si="32"/>
        <v>0</v>
      </c>
      <c r="X186" s="53">
        <f>'version consolidée hors UE'!T189+'version consolidée hors UE'!AJ189+'version consolidée hors UE'!AL189</f>
        <v>2749.39</v>
      </c>
      <c r="Y186" s="53">
        <f>'version consolidée hors UE'!AM189*Z186</f>
        <v>0</v>
      </c>
      <c r="Z186" s="231">
        <f t="shared" si="55"/>
        <v>0.93145983670427213</v>
      </c>
      <c r="AA186" s="53">
        <f t="shared" si="33"/>
        <v>2951.7</v>
      </c>
      <c r="AB186" s="53">
        <f t="shared" si="34"/>
        <v>0</v>
      </c>
      <c r="AC186" s="62">
        <f t="shared" si="35"/>
        <v>1</v>
      </c>
      <c r="AE186" s="62">
        <f t="shared" si="58"/>
        <v>9.5125580827105746E-6</v>
      </c>
      <c r="AF186" s="62">
        <f t="shared" si="59"/>
        <v>0</v>
      </c>
      <c r="AG186" s="62">
        <f t="shared" si="60"/>
        <v>1.5075693887027791E-5</v>
      </c>
    </row>
    <row r="187" spans="2:33">
      <c r="B187" s="86" t="s">
        <v>150</v>
      </c>
      <c r="C187" s="138">
        <f>'version consolidée hors UE'!AO190</f>
        <v>3702.5000000000005</v>
      </c>
      <c r="D187" s="22">
        <f t="shared" si="56"/>
        <v>1.7499241037060448E-5</v>
      </c>
      <c r="E187" s="86">
        <f t="shared" si="57"/>
        <v>117</v>
      </c>
      <c r="P187"/>
      <c r="Q187" s="86" t="s">
        <v>150</v>
      </c>
      <c r="R187" s="53">
        <f>'version consolidée hors UE'!F190</f>
        <v>892.53000000000009</v>
      </c>
      <c r="S187" s="53">
        <f>'version consolidée hors UE'!AM190*T187</f>
        <v>0</v>
      </c>
      <c r="T187" s="62">
        <f t="shared" si="30"/>
        <v>0.24106144496961512</v>
      </c>
      <c r="U187" s="53">
        <f>'version consolidée hors UE'!M190</f>
        <v>0</v>
      </c>
      <c r="V187" s="53">
        <f>'version consolidée hors UE'!AM190*W187</f>
        <v>0</v>
      </c>
      <c r="W187" s="231">
        <f t="shared" si="32"/>
        <v>0</v>
      </c>
      <c r="X187" s="53">
        <f>'version consolidée hors UE'!T190+'version consolidée hors UE'!AJ190+'version consolidée hors UE'!AL190</f>
        <v>2809.9700000000003</v>
      </c>
      <c r="Y187" s="53">
        <f>'version consolidée hors UE'!AM190*Z187</f>
        <v>0</v>
      </c>
      <c r="Z187" s="231">
        <f t="shared" si="55"/>
        <v>0.75893855503038488</v>
      </c>
      <c r="AA187" s="53">
        <f t="shared" si="33"/>
        <v>3702.5000000000005</v>
      </c>
      <c r="AB187" s="53">
        <f t="shared" si="34"/>
        <v>0</v>
      </c>
      <c r="AC187" s="62">
        <f t="shared" si="35"/>
        <v>1</v>
      </c>
      <c r="AE187" s="62">
        <f t="shared" si="58"/>
        <v>4.1966504204249273E-5</v>
      </c>
      <c r="AF187" s="62">
        <f t="shared" si="59"/>
        <v>0</v>
      </c>
      <c r="AG187" s="62">
        <f t="shared" si="60"/>
        <v>1.5407871401194986E-5</v>
      </c>
    </row>
    <row r="188" spans="2:33">
      <c r="B188" s="86" t="s">
        <v>205</v>
      </c>
      <c r="C188" s="138">
        <f>'version consolidée hors UE'!AO191</f>
        <v>242957.21999999997</v>
      </c>
      <c r="D188" s="22">
        <f>C188/$C$190</f>
        <v>1.1482962739970623E-3</v>
      </c>
      <c r="E188" s="86">
        <f t="shared" si="57"/>
        <v>31</v>
      </c>
      <c r="P188"/>
      <c r="Q188" s="86" t="s">
        <v>205</v>
      </c>
      <c r="R188" s="53">
        <f>'version consolidée hors UE'!F191</f>
        <v>230798.35999999996</v>
      </c>
      <c r="S188" s="53">
        <f>'version consolidée hors UE'!AM191*T188</f>
        <v>0</v>
      </c>
      <c r="T188" s="62">
        <f t="shared" si="30"/>
        <v>0.94995472865552211</v>
      </c>
      <c r="U188" s="53">
        <f>'version consolidée hors UE'!M191</f>
        <v>11971.7</v>
      </c>
      <c r="V188" s="53">
        <f>'version consolidée hors UE'!AM191*W188</f>
        <v>0</v>
      </c>
      <c r="W188" s="231">
        <f t="shared" si="32"/>
        <v>4.927492996503665E-2</v>
      </c>
      <c r="X188" s="53">
        <f>'version consolidée hors UE'!T191+'version consolidée hors UE'!AJ191+'version consolidée hors UE'!AL191</f>
        <v>187.16</v>
      </c>
      <c r="Y188" s="53">
        <f>'version consolidée hors UE'!AM191*Z188</f>
        <v>0</v>
      </c>
      <c r="Z188" s="231">
        <f t="shared" si="55"/>
        <v>7.7034137944120373E-4</v>
      </c>
      <c r="AA188" s="53">
        <f t="shared" si="33"/>
        <v>242957.21999999997</v>
      </c>
      <c r="AB188" s="53">
        <f t="shared" si="34"/>
        <v>0</v>
      </c>
      <c r="AC188" s="62">
        <f t="shared" si="35"/>
        <v>1</v>
      </c>
      <c r="AE188" s="62">
        <f t="shared" si="58"/>
        <v>1.0852072586102242E-2</v>
      </c>
      <c r="AF188" s="62">
        <f t="shared" si="59"/>
        <v>1.5076643367161362E-3</v>
      </c>
      <c r="AG188" s="62">
        <f t="shared" si="60"/>
        <v>1.0262519569417658E-6</v>
      </c>
    </row>
    <row r="189" spans="2:33">
      <c r="B189" s="86" t="s">
        <v>189</v>
      </c>
      <c r="C189" s="138">
        <f>'version consolidée hors UE'!AO192</f>
        <v>243051.79999999996</v>
      </c>
      <c r="D189" s="22">
        <f>C189/$C$190</f>
        <v>1.1487432903960588E-3</v>
      </c>
      <c r="E189" s="86">
        <f t="shared" si="57"/>
        <v>30</v>
      </c>
      <c r="P189"/>
      <c r="Q189" s="86" t="s">
        <v>189</v>
      </c>
      <c r="R189" s="53">
        <f>'version consolidée hors UE'!F192</f>
        <v>192592.81999999998</v>
      </c>
      <c r="S189" s="53">
        <f>'version consolidée hors UE'!AM192*T189</f>
        <v>0</v>
      </c>
      <c r="T189" s="62">
        <f t="shared" si="30"/>
        <v>0.79239413162132522</v>
      </c>
      <c r="U189" s="53">
        <f>'version consolidée hors UE'!M192</f>
        <v>29487.15</v>
      </c>
      <c r="V189" s="53">
        <f>'version consolidée hors UE'!AM192*W189</f>
        <v>0</v>
      </c>
      <c r="W189" s="231">
        <f t="shared" si="32"/>
        <v>0.12132043457402911</v>
      </c>
      <c r="X189" s="53">
        <f>'version consolidée hors UE'!T192+'version consolidée hors UE'!AJ192+'version consolidée hors UE'!AL192</f>
        <v>20971.829999999998</v>
      </c>
      <c r="Y189" s="53">
        <f>'version consolidée hors UE'!AM192*Z189</f>
        <v>0</v>
      </c>
      <c r="Z189" s="231">
        <f t="shared" si="55"/>
        <v>8.6285433804645761E-2</v>
      </c>
      <c r="AA189" s="53">
        <f t="shared" si="33"/>
        <v>243051.79999999996</v>
      </c>
      <c r="AB189" s="53">
        <f t="shared" si="34"/>
        <v>0</v>
      </c>
      <c r="AC189" s="62">
        <f t="shared" si="35"/>
        <v>1</v>
      </c>
      <c r="AE189" s="62">
        <f>R189/$R$190</f>
        <v>9.0556590705502572E-3</v>
      </c>
      <c r="AF189" s="62">
        <f>U189/$U$190</f>
        <v>3.7134846718844621E-3</v>
      </c>
      <c r="AG189" s="62">
        <f>X189/$X$190</f>
        <v>1.1499455854963683E-4</v>
      </c>
    </row>
    <row r="190" spans="2:33">
      <c r="B190" s="10" t="s">
        <v>47</v>
      </c>
      <c r="C190" s="137">
        <f>SUM(C4:C189)</f>
        <v>211580604.67643872</v>
      </c>
      <c r="D190" s="134">
        <f>SUM(D4:D189)</f>
        <v>0.99999999999999989</v>
      </c>
      <c r="E190"/>
      <c r="Q190" s="10" t="s">
        <v>47</v>
      </c>
      <c r="R190" s="9">
        <f>SUM(R4:R189)</f>
        <v>21267675.660000004</v>
      </c>
      <c r="S190" s="9">
        <f>SUM(S4:S189)</f>
        <v>403473.62341651582</v>
      </c>
      <c r="T190" s="230">
        <f>R190/AA190</f>
        <v>0.10051807769678965</v>
      </c>
      <c r="U190" s="9">
        <f>SUM(U4:U189)</f>
        <v>7940560.5800000019</v>
      </c>
      <c r="V190" s="9">
        <f>SUM(V4:V189)</f>
        <v>296399.16913826065</v>
      </c>
      <c r="W190" s="230">
        <f>U190/AA190</f>
        <v>3.7529718719459967E-2</v>
      </c>
      <c r="X190" s="9">
        <f>SUM(X4:X189)</f>
        <v>182372368.43643877</v>
      </c>
      <c r="Y190" s="9">
        <f>SUM(Y4:Y189)</f>
        <v>9999150.505120473</v>
      </c>
      <c r="Z190" s="6">
        <f>X190/AA190</f>
        <v>0.86195220358375069</v>
      </c>
      <c r="AA190" s="9">
        <f>IF(SUM(AA4:AA189)=R190+U190+X190,SUM(AA4:AA189),"Faux")</f>
        <v>211580604.67643872</v>
      </c>
      <c r="AB190" s="9">
        <f>IF(SUM(AB4:AB189)=S190+V190+Y190,SUM(AB4:AB189),"Faux")</f>
        <v>10699023.29767525</v>
      </c>
      <c r="AC190" s="52"/>
    </row>
    <row r="191" spans="2:33">
      <c r="B191" s="172"/>
      <c r="Q191" s="40" t="s">
        <v>367</v>
      </c>
    </row>
    <row r="192" spans="2:33">
      <c r="B192" s="225" t="s">
        <v>348</v>
      </c>
      <c r="Q192" s="90" t="s">
        <v>276</v>
      </c>
      <c r="AA192" s="26"/>
      <c r="AB192" s="26"/>
    </row>
    <row r="193" spans="2:28">
      <c r="B193" s="225" t="s">
        <v>349</v>
      </c>
      <c r="AA193" s="218" t="s">
        <v>341</v>
      </c>
      <c r="AB193" s="221">
        <f>AA190+AB190</f>
        <v>222279627.97411397</v>
      </c>
    </row>
    <row r="194" spans="2:28">
      <c r="Q194" s="225" t="s">
        <v>348</v>
      </c>
    </row>
    <row r="195" spans="2:28">
      <c r="Q195" s="225" t="s">
        <v>349</v>
      </c>
    </row>
    <row r="211" spans="14:14">
      <c r="N211" s="64"/>
    </row>
  </sheetData>
  <mergeCells count="5">
    <mergeCell ref="C3:D3"/>
    <mergeCell ref="R2:T2"/>
    <mergeCell ref="U2:W2"/>
    <mergeCell ref="X2:Z2"/>
    <mergeCell ref="AA2:AC2"/>
  </mergeCells>
  <conditionalFormatting sqref="AE4:AE189">
    <cfRule type="top10" dxfId="2" priority="88" rank="5"/>
  </conditionalFormatting>
  <conditionalFormatting sqref="AF4:AF189">
    <cfRule type="top10" dxfId="1" priority="89" rank="5"/>
  </conditionalFormatting>
  <conditionalFormatting sqref="AG4:AG189">
    <cfRule type="top10" dxfId="0" priority="90" rank="5"/>
  </conditionalFormatting>
  <hyperlinks>
    <hyperlink ref="A1" location="ACCUEIL!A1" display="ACCUEIL"/>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sheetPr>
    <tabColor theme="9" tint="-0.499984740745262"/>
  </sheetPr>
  <dimension ref="A1:V89"/>
  <sheetViews>
    <sheetView zoomScale="80" zoomScaleNormal="80" workbookViewId="0"/>
  </sheetViews>
  <sheetFormatPr baseColWidth="10" defaultRowHeight="15"/>
  <cols>
    <col min="1" max="1" width="11.42578125" style="25"/>
    <col min="2" max="2" width="25.5703125" style="25" bestFit="1" customWidth="1"/>
    <col min="3" max="3" width="15.140625" style="25" bestFit="1" customWidth="1"/>
    <col min="4" max="5" width="11.42578125" style="25"/>
    <col min="6" max="7" width="13.5703125" style="25" bestFit="1" customWidth="1"/>
    <col min="8" max="8" width="11.42578125" style="25"/>
    <col min="9" max="9" width="13.5703125" style="25" bestFit="1" customWidth="1"/>
    <col min="10" max="10" width="11.42578125" style="25"/>
    <col min="11" max="11" width="13.5703125" style="25" bestFit="1" customWidth="1"/>
    <col min="12" max="12" width="13.140625" style="25" bestFit="1" customWidth="1"/>
    <col min="13" max="16" width="13.140625" style="25" customWidth="1"/>
    <col min="17" max="17" width="11.42578125" style="25"/>
    <col min="18" max="18" width="13.5703125" style="25" bestFit="1" customWidth="1"/>
    <col min="19" max="19" width="14.28515625" style="25" customWidth="1"/>
    <col min="20" max="20" width="11.42578125" style="25"/>
    <col min="21" max="21" width="15.7109375" style="25" customWidth="1"/>
    <col min="22" max="22" width="10.5703125" style="25" customWidth="1"/>
    <col min="23" max="16384" width="11.42578125" style="25"/>
  </cols>
  <sheetData>
    <row r="1" spans="1:22" ht="15.75" thickBot="1">
      <c r="A1" s="28" t="s">
        <v>206</v>
      </c>
    </row>
    <row r="3" spans="1:22">
      <c r="B3" s="29" t="s">
        <v>364</v>
      </c>
      <c r="S3" s="57"/>
    </row>
    <row r="5" spans="1:22">
      <c r="B5" s="30"/>
      <c r="C5" s="30"/>
      <c r="D5" s="388" t="s">
        <v>158</v>
      </c>
      <c r="E5" s="388"/>
      <c r="F5" s="388"/>
      <c r="G5" s="388"/>
      <c r="H5" s="388"/>
      <c r="I5" s="388"/>
      <c r="J5" s="388" t="s">
        <v>29</v>
      </c>
      <c r="K5" s="388"/>
      <c r="L5" s="388"/>
      <c r="M5" s="388" t="s">
        <v>294</v>
      </c>
      <c r="N5" s="388"/>
      <c r="O5" s="388"/>
      <c r="P5" s="418" t="s">
        <v>295</v>
      </c>
      <c r="Q5" s="412" t="s">
        <v>47</v>
      </c>
      <c r="R5" s="413"/>
      <c r="S5" s="413"/>
      <c r="T5" s="413"/>
      <c r="U5" s="413"/>
      <c r="V5" s="414"/>
    </row>
    <row r="6" spans="1:22" ht="15" customHeight="1">
      <c r="B6" s="389" t="s">
        <v>175</v>
      </c>
      <c r="C6" s="391" t="s">
        <v>176</v>
      </c>
      <c r="D6" s="393" t="s">
        <v>159</v>
      </c>
      <c r="E6" s="394"/>
      <c r="F6" s="393" t="s">
        <v>160</v>
      </c>
      <c r="G6" s="394"/>
      <c r="H6" s="394"/>
      <c r="I6" s="395"/>
      <c r="J6" s="396" t="s">
        <v>159</v>
      </c>
      <c r="K6" s="397" t="s">
        <v>2</v>
      </c>
      <c r="L6" s="397" t="s">
        <v>177</v>
      </c>
      <c r="M6" s="396" t="s">
        <v>159</v>
      </c>
      <c r="N6" s="397" t="s">
        <v>2</v>
      </c>
      <c r="O6" s="397" t="s">
        <v>177</v>
      </c>
      <c r="P6" s="419"/>
      <c r="Q6" s="396" t="s">
        <v>159</v>
      </c>
      <c r="R6" s="397" t="s">
        <v>184</v>
      </c>
      <c r="S6" s="397" t="s">
        <v>344</v>
      </c>
      <c r="T6" s="397" t="s">
        <v>185</v>
      </c>
      <c r="U6" s="397" t="s">
        <v>345</v>
      </c>
      <c r="V6" s="397" t="s">
        <v>177</v>
      </c>
    </row>
    <row r="7" spans="1:22" ht="35.25" customHeight="1">
      <c r="B7" s="390"/>
      <c r="C7" s="392"/>
      <c r="D7" s="31" t="s">
        <v>178</v>
      </c>
      <c r="E7" s="31" t="s">
        <v>179</v>
      </c>
      <c r="F7" s="31" t="s">
        <v>2</v>
      </c>
      <c r="G7" s="31" t="s">
        <v>2</v>
      </c>
      <c r="H7" s="31" t="s">
        <v>179</v>
      </c>
      <c r="I7" s="31" t="s">
        <v>177</v>
      </c>
      <c r="J7" s="396"/>
      <c r="K7" s="398"/>
      <c r="L7" s="398"/>
      <c r="M7" s="396"/>
      <c r="N7" s="398"/>
      <c r="O7" s="398"/>
      <c r="P7" s="420"/>
      <c r="Q7" s="396"/>
      <c r="R7" s="398"/>
      <c r="S7" s="398"/>
      <c r="T7" s="398"/>
      <c r="U7" s="398"/>
      <c r="V7" s="398"/>
    </row>
    <row r="8" spans="1:22">
      <c r="B8" s="399" t="s">
        <v>195</v>
      </c>
      <c r="C8" s="32" t="s">
        <v>43</v>
      </c>
      <c r="D8" s="400">
        <f>'version consolidée hors UE'!E196</f>
        <v>90331</v>
      </c>
      <c r="E8" s="402">
        <f>D8/$D$23</f>
        <v>0.37107282526537183</v>
      </c>
      <c r="F8" s="55">
        <f>'version consolidée hors UE'!G196</f>
        <v>3304245.41</v>
      </c>
      <c r="G8" s="400">
        <f>SUM(F8:F12)</f>
        <v>21267675.66</v>
      </c>
      <c r="H8" s="402">
        <f>G8/$G$23</f>
        <v>0.17134004005300313</v>
      </c>
      <c r="I8" s="385">
        <f>G8/D8</f>
        <v>235.44160542892251</v>
      </c>
      <c r="J8" s="468" t="s">
        <v>181</v>
      </c>
      <c r="K8" s="468" t="s">
        <v>181</v>
      </c>
      <c r="L8" s="468" t="s">
        <v>181</v>
      </c>
      <c r="M8" s="188"/>
      <c r="N8" s="188"/>
      <c r="O8" s="188"/>
      <c r="P8" s="459">
        <f>'version consolidée hors UE'!AM$196*T8</f>
        <v>1075445.2551154834</v>
      </c>
      <c r="Q8" s="400">
        <f>D8</f>
        <v>90331</v>
      </c>
      <c r="R8" s="402">
        <f>Q8/Q23</f>
        <v>0.17212429092170176</v>
      </c>
      <c r="S8" s="400">
        <f>G8</f>
        <v>21267675.66</v>
      </c>
      <c r="T8" s="402">
        <f>S8/$S$23</f>
        <v>0.10051807769678962</v>
      </c>
      <c r="U8" s="400">
        <f>S8+P8</f>
        <v>22343120.915115483</v>
      </c>
      <c r="V8" s="385">
        <f>S8/Q8</f>
        <v>235.44160542892251</v>
      </c>
    </row>
    <row r="9" spans="1:22">
      <c r="B9" s="399"/>
      <c r="C9" s="32" t="s">
        <v>42</v>
      </c>
      <c r="D9" s="401"/>
      <c r="E9" s="403"/>
      <c r="F9" s="55">
        <f>'version consolidée hors UE'!H196</f>
        <v>129490.74999999999</v>
      </c>
      <c r="G9" s="401"/>
      <c r="H9" s="403"/>
      <c r="I9" s="385"/>
      <c r="J9" s="469"/>
      <c r="K9" s="469"/>
      <c r="L9" s="469"/>
      <c r="M9" s="189"/>
      <c r="N9" s="189"/>
      <c r="O9" s="189"/>
      <c r="P9" s="466"/>
      <c r="Q9" s="401"/>
      <c r="R9" s="403"/>
      <c r="S9" s="401"/>
      <c r="T9" s="403"/>
      <c r="U9" s="401"/>
      <c r="V9" s="385"/>
    </row>
    <row r="10" spans="1:22">
      <c r="B10" s="399"/>
      <c r="C10" s="32" t="s">
        <v>41</v>
      </c>
      <c r="D10" s="401"/>
      <c r="E10" s="403"/>
      <c r="F10" s="55">
        <f>'version consolidée hors UE'!I196</f>
        <v>586476.27000000014</v>
      </c>
      <c r="G10" s="401"/>
      <c r="H10" s="403"/>
      <c r="I10" s="385"/>
      <c r="J10" s="469"/>
      <c r="K10" s="469"/>
      <c r="L10" s="469"/>
      <c r="M10" s="189"/>
      <c r="N10" s="189"/>
      <c r="O10" s="189"/>
      <c r="P10" s="466"/>
      <c r="Q10" s="401"/>
      <c r="R10" s="403"/>
      <c r="S10" s="401"/>
      <c r="T10" s="403"/>
      <c r="U10" s="401"/>
      <c r="V10" s="385"/>
    </row>
    <row r="11" spans="1:22">
      <c r="B11" s="399"/>
      <c r="C11" s="32" t="s">
        <v>40</v>
      </c>
      <c r="D11" s="401"/>
      <c r="E11" s="403"/>
      <c r="F11" s="55">
        <f>'version consolidée hors UE'!J196</f>
        <v>16680557.779999999</v>
      </c>
      <c r="G11" s="401"/>
      <c r="H11" s="403"/>
      <c r="I11" s="385"/>
      <c r="J11" s="469"/>
      <c r="K11" s="469"/>
      <c r="L11" s="469"/>
      <c r="M11" s="189"/>
      <c r="N11" s="189"/>
      <c r="O11" s="189"/>
      <c r="P11" s="466"/>
      <c r="Q11" s="401"/>
      <c r="R11" s="403"/>
      <c r="S11" s="401"/>
      <c r="T11" s="403"/>
      <c r="U11" s="401"/>
      <c r="V11" s="385"/>
    </row>
    <row r="12" spans="1:22">
      <c r="B12" s="399"/>
      <c r="C12" s="32" t="s">
        <v>39</v>
      </c>
      <c r="D12" s="407"/>
      <c r="E12" s="406"/>
      <c r="F12" s="55">
        <f>'version consolidée hors UE'!K196</f>
        <v>566905.44999999995</v>
      </c>
      <c r="G12" s="407"/>
      <c r="H12" s="406"/>
      <c r="I12" s="385"/>
      <c r="J12" s="470"/>
      <c r="K12" s="470"/>
      <c r="L12" s="470"/>
      <c r="M12" s="190"/>
      <c r="N12" s="190"/>
      <c r="O12" s="190"/>
      <c r="P12" s="467"/>
      <c r="Q12" s="407"/>
      <c r="R12" s="406"/>
      <c r="S12" s="407"/>
      <c r="T12" s="406"/>
      <c r="U12" s="407"/>
      <c r="V12" s="385"/>
    </row>
    <row r="13" spans="1:22">
      <c r="B13" s="404" t="s">
        <v>151</v>
      </c>
      <c r="C13" s="38" t="s">
        <v>43</v>
      </c>
      <c r="D13" s="405">
        <f>'version consolidée hors UE'!L196</f>
        <v>2595</v>
      </c>
      <c r="E13" s="402">
        <f>D13/$D$23</f>
        <v>1.0660061125899635E-2</v>
      </c>
      <c r="F13" s="56">
        <f>'version consolidée hors UE'!N196</f>
        <v>93947.049999999974</v>
      </c>
      <c r="G13" s="405">
        <f>SUM(F13:F17)</f>
        <v>7940560.5800000001</v>
      </c>
      <c r="H13" s="402">
        <f>G13/$G$23</f>
        <v>6.3972010367798593E-2</v>
      </c>
      <c r="I13" s="385">
        <f>G13/D13</f>
        <v>3059.9462736030828</v>
      </c>
      <c r="J13" s="408" t="s">
        <v>181</v>
      </c>
      <c r="K13" s="408" t="s">
        <v>181</v>
      </c>
      <c r="L13" s="408" t="s">
        <v>181</v>
      </c>
      <c r="M13" s="185"/>
      <c r="N13" s="185"/>
      <c r="O13" s="185"/>
      <c r="P13" s="459">
        <f>'version consolidée hors UE'!AM$196*T13</f>
        <v>401531.33493470104</v>
      </c>
      <c r="Q13" s="405">
        <f>D13</f>
        <v>2595</v>
      </c>
      <c r="R13" s="402">
        <f>Q13/Q23</f>
        <v>4.9447314315330957E-3</v>
      </c>
      <c r="S13" s="405">
        <f>G13</f>
        <v>7940560.5800000001</v>
      </c>
      <c r="T13" s="402">
        <f>S13/S23</f>
        <v>3.7529718719459954E-2</v>
      </c>
      <c r="U13" s="400">
        <f>S13+P13</f>
        <v>8342091.9149347013</v>
      </c>
      <c r="V13" s="385">
        <f>S13/Q13</f>
        <v>3059.9462736030828</v>
      </c>
    </row>
    <row r="14" spans="1:22">
      <c r="B14" s="404"/>
      <c r="C14" s="38" t="s">
        <v>42</v>
      </c>
      <c r="D14" s="405"/>
      <c r="E14" s="403"/>
      <c r="F14" s="56">
        <f>'version consolidée hors UE'!O196</f>
        <v>2668.29</v>
      </c>
      <c r="G14" s="405"/>
      <c r="H14" s="403"/>
      <c r="I14" s="385"/>
      <c r="J14" s="409"/>
      <c r="K14" s="409"/>
      <c r="L14" s="409"/>
      <c r="M14" s="186"/>
      <c r="N14" s="186"/>
      <c r="O14" s="186"/>
      <c r="P14" s="466"/>
      <c r="Q14" s="405"/>
      <c r="R14" s="403"/>
      <c r="S14" s="405"/>
      <c r="T14" s="403"/>
      <c r="U14" s="401"/>
      <c r="V14" s="385"/>
    </row>
    <row r="15" spans="1:22">
      <c r="B15" s="404"/>
      <c r="C15" s="38" t="s">
        <v>41</v>
      </c>
      <c r="D15" s="405"/>
      <c r="E15" s="403"/>
      <c r="F15" s="56">
        <f>'version consolidée hors UE'!P196</f>
        <v>43435.250000000007</v>
      </c>
      <c r="G15" s="405"/>
      <c r="H15" s="403"/>
      <c r="I15" s="385"/>
      <c r="J15" s="409"/>
      <c r="K15" s="409"/>
      <c r="L15" s="409"/>
      <c r="M15" s="186"/>
      <c r="N15" s="186"/>
      <c r="O15" s="186"/>
      <c r="P15" s="466"/>
      <c r="Q15" s="405"/>
      <c r="R15" s="403"/>
      <c r="S15" s="405"/>
      <c r="T15" s="403"/>
      <c r="U15" s="401"/>
      <c r="V15" s="385"/>
    </row>
    <row r="16" spans="1:22">
      <c r="B16" s="404"/>
      <c r="C16" s="38" t="s">
        <v>40</v>
      </c>
      <c r="D16" s="405"/>
      <c r="E16" s="403"/>
      <c r="F16" s="56">
        <f>'version consolidée hors UE'!Q196</f>
        <v>7764446.5700000003</v>
      </c>
      <c r="G16" s="405"/>
      <c r="H16" s="403"/>
      <c r="I16" s="385"/>
      <c r="J16" s="409"/>
      <c r="K16" s="409"/>
      <c r="L16" s="409"/>
      <c r="M16" s="186"/>
      <c r="N16" s="186"/>
      <c r="O16" s="186"/>
      <c r="P16" s="466"/>
      <c r="Q16" s="405"/>
      <c r="R16" s="403"/>
      <c r="S16" s="405"/>
      <c r="T16" s="403"/>
      <c r="U16" s="401"/>
      <c r="V16" s="385"/>
    </row>
    <row r="17" spans="2:22">
      <c r="B17" s="404"/>
      <c r="C17" s="38" t="s">
        <v>39</v>
      </c>
      <c r="D17" s="405"/>
      <c r="E17" s="406"/>
      <c r="F17" s="56">
        <f>'version consolidée hors UE'!R196</f>
        <v>36063.42</v>
      </c>
      <c r="G17" s="405"/>
      <c r="H17" s="406"/>
      <c r="I17" s="385"/>
      <c r="J17" s="410"/>
      <c r="K17" s="410"/>
      <c r="L17" s="410"/>
      <c r="M17" s="187"/>
      <c r="N17" s="187"/>
      <c r="O17" s="187"/>
      <c r="P17" s="467"/>
      <c r="Q17" s="405"/>
      <c r="R17" s="406"/>
      <c r="S17" s="405"/>
      <c r="T17" s="406"/>
      <c r="U17" s="407"/>
      <c r="V17" s="385"/>
    </row>
    <row r="18" spans="2:22">
      <c r="B18" s="399" t="s">
        <v>191</v>
      </c>
      <c r="C18" s="32" t="s">
        <v>43</v>
      </c>
      <c r="D18" s="459">
        <f>'version consolidée hors UE'!S196</f>
        <v>150506</v>
      </c>
      <c r="E18" s="471">
        <f>D18/$D$23</f>
        <v>0.61826711360872855</v>
      </c>
      <c r="F18" s="170">
        <f>'version consolidée hors UE'!U196</f>
        <v>29949206.34</v>
      </c>
      <c r="G18" s="459">
        <f>SUM(F18:F22)</f>
        <v>94917307.640000001</v>
      </c>
      <c r="H18" s="471">
        <f>G18/$G$23</f>
        <v>0.76468794957919817</v>
      </c>
      <c r="I18" s="474">
        <f>G18/D18</f>
        <v>630.65464260561043</v>
      </c>
      <c r="J18" s="459">
        <f>'version consolidée hors UE'!AI196</f>
        <v>281368</v>
      </c>
      <c r="K18" s="459">
        <f>'version consolidée hors UE'!AJ196</f>
        <v>87454722.916438743</v>
      </c>
      <c r="L18" s="463">
        <f>IF(K18=0,"-",K18/J18)</f>
        <v>310.81971978490355</v>
      </c>
      <c r="M18" s="459">
        <f>'version consolidée hors UE'!AK196</f>
        <v>1</v>
      </c>
      <c r="N18" s="459">
        <f>'version consolidée hors UE'!AL196</f>
        <v>337.88</v>
      </c>
      <c r="O18" s="463">
        <f>IF(N18=0,"-",N18/M18)</f>
        <v>337.88</v>
      </c>
      <c r="P18" s="459">
        <f>'version consolidée hors UE'!AM$196*T18</f>
        <v>9222046.7076250669</v>
      </c>
      <c r="Q18" s="459">
        <f>D18+J18+M18</f>
        <v>431875</v>
      </c>
      <c r="R18" s="471">
        <f>Q18/Q23</f>
        <v>0.82293097764676515</v>
      </c>
      <c r="S18" s="459">
        <f>G18+K18+N18</f>
        <v>182372368.43643874</v>
      </c>
      <c r="T18" s="471">
        <f>S18/S23</f>
        <v>0.86195220358375035</v>
      </c>
      <c r="U18" s="400">
        <f>S18+P18</f>
        <v>191594415.1440638</v>
      </c>
      <c r="V18" s="385">
        <f>S18/Q18</f>
        <v>422.28044789913457</v>
      </c>
    </row>
    <row r="19" spans="2:22">
      <c r="B19" s="399"/>
      <c r="C19" s="32" t="s">
        <v>42</v>
      </c>
      <c r="D19" s="460"/>
      <c r="E19" s="472"/>
      <c r="F19" s="170">
        <f>'version consolidée hors UE'!V196</f>
        <v>2031221.55</v>
      </c>
      <c r="G19" s="460"/>
      <c r="H19" s="472"/>
      <c r="I19" s="474"/>
      <c r="J19" s="460"/>
      <c r="K19" s="460"/>
      <c r="L19" s="464"/>
      <c r="M19" s="460"/>
      <c r="N19" s="460"/>
      <c r="O19" s="464"/>
      <c r="P19" s="466"/>
      <c r="Q19" s="460"/>
      <c r="R19" s="472"/>
      <c r="S19" s="460"/>
      <c r="T19" s="472"/>
      <c r="U19" s="401"/>
      <c r="V19" s="385"/>
    </row>
    <row r="20" spans="2:22">
      <c r="B20" s="399"/>
      <c r="C20" s="32" t="s">
        <v>41</v>
      </c>
      <c r="D20" s="460"/>
      <c r="E20" s="472"/>
      <c r="F20" s="170">
        <f>'version consolidée hors UE'!W196</f>
        <v>12085546.330000002</v>
      </c>
      <c r="G20" s="460"/>
      <c r="H20" s="472"/>
      <c r="I20" s="474"/>
      <c r="J20" s="460"/>
      <c r="K20" s="460"/>
      <c r="L20" s="464"/>
      <c r="M20" s="460"/>
      <c r="N20" s="460"/>
      <c r="O20" s="464"/>
      <c r="P20" s="466"/>
      <c r="Q20" s="460"/>
      <c r="R20" s="472"/>
      <c r="S20" s="460"/>
      <c r="T20" s="472"/>
      <c r="U20" s="401"/>
      <c r="V20" s="385"/>
    </row>
    <row r="21" spans="2:22">
      <c r="B21" s="399"/>
      <c r="C21" s="32" t="s">
        <v>40</v>
      </c>
      <c r="D21" s="460"/>
      <c r="E21" s="472"/>
      <c r="F21" s="170">
        <f>'version consolidée hors UE'!X196</f>
        <v>40862913.210000008</v>
      </c>
      <c r="G21" s="460"/>
      <c r="H21" s="472"/>
      <c r="I21" s="474"/>
      <c r="J21" s="460"/>
      <c r="K21" s="460"/>
      <c r="L21" s="464"/>
      <c r="M21" s="460"/>
      <c r="N21" s="460"/>
      <c r="O21" s="464"/>
      <c r="P21" s="466"/>
      <c r="Q21" s="460"/>
      <c r="R21" s="472"/>
      <c r="S21" s="460"/>
      <c r="T21" s="472"/>
      <c r="U21" s="401"/>
      <c r="V21" s="385"/>
    </row>
    <row r="22" spans="2:22">
      <c r="B22" s="399"/>
      <c r="C22" s="32" t="s">
        <v>39</v>
      </c>
      <c r="D22" s="461"/>
      <c r="E22" s="473"/>
      <c r="F22" s="170">
        <f>'version consolidée hors UE'!Y196</f>
        <v>9988420.209999999</v>
      </c>
      <c r="G22" s="461"/>
      <c r="H22" s="473"/>
      <c r="I22" s="474"/>
      <c r="J22" s="461"/>
      <c r="K22" s="461"/>
      <c r="L22" s="465"/>
      <c r="M22" s="461"/>
      <c r="N22" s="461"/>
      <c r="O22" s="465"/>
      <c r="P22" s="467"/>
      <c r="Q22" s="461"/>
      <c r="R22" s="473"/>
      <c r="S22" s="461"/>
      <c r="T22" s="473"/>
      <c r="U22" s="407"/>
      <c r="V22" s="385"/>
    </row>
    <row r="23" spans="2:22">
      <c r="B23" s="404" t="s">
        <v>182</v>
      </c>
      <c r="C23" s="38" t="s">
        <v>43</v>
      </c>
      <c r="D23" s="405">
        <f>SUM(D8:D22)</f>
        <v>243432</v>
      </c>
      <c r="E23" s="411">
        <f>SUM(E8:E22)</f>
        <v>1</v>
      </c>
      <c r="F23" s="56">
        <f>F8+F13+F18</f>
        <v>33347398.800000001</v>
      </c>
      <c r="G23" s="405">
        <f>SUM(F23:F27)</f>
        <v>124125543.88000001</v>
      </c>
      <c r="H23" s="411">
        <f>SUM(H8:H22)</f>
        <v>0.99999999999999989</v>
      </c>
      <c r="I23" s="385">
        <f>G23/D23</f>
        <v>509.89822159781789</v>
      </c>
      <c r="J23" s="405">
        <f>SUM(J8:J22)</f>
        <v>281368</v>
      </c>
      <c r="K23" s="405">
        <f>SUM(K8:K22)</f>
        <v>87454722.916438743</v>
      </c>
      <c r="L23" s="475">
        <f>IF(J23=0,"-",K23/J23)</f>
        <v>310.81971978490355</v>
      </c>
      <c r="M23" s="405">
        <f>SUM(M8:M22)</f>
        <v>1</v>
      </c>
      <c r="N23" s="405">
        <f>SUM(N8:N22)</f>
        <v>337.88</v>
      </c>
      <c r="O23" s="475">
        <f>IF(M23=0,"-",N23/M23)</f>
        <v>337.88</v>
      </c>
      <c r="P23" s="405">
        <f t="shared" ref="P23:U23" si="0">SUM(P8:P22)</f>
        <v>10699023.297675252</v>
      </c>
      <c r="Q23" s="405">
        <f t="shared" si="0"/>
        <v>524801</v>
      </c>
      <c r="R23" s="411">
        <f t="shared" si="0"/>
        <v>1</v>
      </c>
      <c r="S23" s="405">
        <f t="shared" si="0"/>
        <v>211580604.67643875</v>
      </c>
      <c r="T23" s="411">
        <f t="shared" si="0"/>
        <v>1</v>
      </c>
      <c r="U23" s="400">
        <f t="shared" si="0"/>
        <v>222279627.974114</v>
      </c>
      <c r="V23" s="385">
        <f>S23/Q23</f>
        <v>403.1634937365568</v>
      </c>
    </row>
    <row r="24" spans="2:22">
      <c r="B24" s="404"/>
      <c r="C24" s="38" t="s">
        <v>42</v>
      </c>
      <c r="D24" s="405"/>
      <c r="E24" s="411"/>
      <c r="F24" s="56">
        <f>F9+F14+F19</f>
        <v>2163380.59</v>
      </c>
      <c r="G24" s="405"/>
      <c r="H24" s="411"/>
      <c r="I24" s="385"/>
      <c r="J24" s="405"/>
      <c r="K24" s="405"/>
      <c r="L24" s="475"/>
      <c r="M24" s="405"/>
      <c r="N24" s="405"/>
      <c r="O24" s="475"/>
      <c r="P24" s="405"/>
      <c r="Q24" s="405"/>
      <c r="R24" s="411"/>
      <c r="S24" s="405"/>
      <c r="T24" s="411"/>
      <c r="U24" s="401"/>
      <c r="V24" s="385"/>
    </row>
    <row r="25" spans="2:22">
      <c r="B25" s="404"/>
      <c r="C25" s="38" t="s">
        <v>41</v>
      </c>
      <c r="D25" s="405"/>
      <c r="E25" s="411"/>
      <c r="F25" s="56">
        <f>F10+F15+F20</f>
        <v>12715457.850000001</v>
      </c>
      <c r="G25" s="405"/>
      <c r="H25" s="411"/>
      <c r="I25" s="385"/>
      <c r="J25" s="405"/>
      <c r="K25" s="405"/>
      <c r="L25" s="475"/>
      <c r="M25" s="405"/>
      <c r="N25" s="405"/>
      <c r="O25" s="475"/>
      <c r="P25" s="405"/>
      <c r="Q25" s="405"/>
      <c r="R25" s="411"/>
      <c r="S25" s="405"/>
      <c r="T25" s="411"/>
      <c r="U25" s="401"/>
      <c r="V25" s="385"/>
    </row>
    <row r="26" spans="2:22">
      <c r="B26" s="404"/>
      <c r="C26" s="38" t="s">
        <v>40</v>
      </c>
      <c r="D26" s="405"/>
      <c r="E26" s="411"/>
      <c r="F26" s="56">
        <f>F11+F16+F21</f>
        <v>65307917.56000001</v>
      </c>
      <c r="G26" s="405"/>
      <c r="H26" s="411"/>
      <c r="I26" s="385"/>
      <c r="J26" s="405"/>
      <c r="K26" s="405"/>
      <c r="L26" s="475"/>
      <c r="M26" s="405"/>
      <c r="N26" s="405"/>
      <c r="O26" s="475"/>
      <c r="P26" s="405"/>
      <c r="Q26" s="405"/>
      <c r="R26" s="411"/>
      <c r="S26" s="405"/>
      <c r="T26" s="411"/>
      <c r="U26" s="401"/>
      <c r="V26" s="385"/>
    </row>
    <row r="27" spans="2:22">
      <c r="B27" s="404"/>
      <c r="C27" s="38" t="s">
        <v>39</v>
      </c>
      <c r="D27" s="405"/>
      <c r="E27" s="411"/>
      <c r="F27" s="56">
        <f>F12+F17+F22</f>
        <v>10591389.079999998</v>
      </c>
      <c r="G27" s="405"/>
      <c r="H27" s="411"/>
      <c r="I27" s="385"/>
      <c r="J27" s="405"/>
      <c r="K27" s="405"/>
      <c r="L27" s="475"/>
      <c r="M27" s="405"/>
      <c r="N27" s="405"/>
      <c r="O27" s="475"/>
      <c r="P27" s="405"/>
      <c r="Q27" s="405"/>
      <c r="R27" s="411"/>
      <c r="S27" s="405"/>
      <c r="T27" s="411"/>
      <c r="U27" s="407"/>
      <c r="V27" s="385"/>
    </row>
    <row r="28" spans="2:22">
      <c r="B28" s="40" t="s">
        <v>367</v>
      </c>
      <c r="C28" s="57"/>
      <c r="D28" s="57"/>
      <c r="E28" s="57"/>
      <c r="F28" s="57"/>
      <c r="G28" s="136"/>
      <c r="H28" s="57"/>
      <c r="I28" s="57"/>
      <c r="J28" s="57"/>
      <c r="K28" s="91"/>
      <c r="L28" s="57"/>
      <c r="M28" s="57"/>
      <c r="N28" s="57"/>
      <c r="O28" s="57"/>
      <c r="P28" s="57"/>
      <c r="Q28" s="57"/>
    </row>
    <row r="29" spans="2:22">
      <c r="B29" s="40" t="s">
        <v>284</v>
      </c>
    </row>
    <row r="30" spans="2:22">
      <c r="B30" s="40"/>
      <c r="G30" s="95"/>
    </row>
    <row r="31" spans="2:22">
      <c r="B31" s="40"/>
    </row>
    <row r="32" spans="2:22">
      <c r="B32" s="46" t="s">
        <v>281</v>
      </c>
      <c r="C32" s="30"/>
      <c r="D32" s="30"/>
      <c r="E32" s="30"/>
      <c r="F32" s="30"/>
      <c r="G32" s="30"/>
      <c r="H32" s="30"/>
      <c r="I32" s="30"/>
      <c r="J32" s="30"/>
      <c r="K32" s="30"/>
      <c r="S32" s="27"/>
    </row>
    <row r="33" spans="2:21">
      <c r="B33" s="30"/>
      <c r="C33" s="30"/>
      <c r="D33" s="30"/>
      <c r="E33" s="30"/>
      <c r="F33" s="30"/>
      <c r="G33" s="30"/>
      <c r="H33" s="30"/>
      <c r="I33" s="30"/>
      <c r="J33" s="30"/>
      <c r="K33" s="30"/>
    </row>
    <row r="34" spans="2:21">
      <c r="B34" s="30"/>
      <c r="C34" s="30"/>
      <c r="D34" s="30"/>
      <c r="E34" s="30"/>
      <c r="F34" s="30"/>
      <c r="G34" s="58"/>
      <c r="H34" s="58"/>
      <c r="I34" s="67"/>
      <c r="J34" s="30"/>
      <c r="K34" s="30"/>
      <c r="L34" s="47"/>
      <c r="M34" s="47"/>
      <c r="N34" s="47"/>
      <c r="O34" s="47"/>
      <c r="P34" s="47"/>
      <c r="R34" s="27"/>
      <c r="S34" s="27"/>
    </row>
    <row r="35" spans="2:21">
      <c r="B35" s="30"/>
      <c r="C35" s="30" t="str">
        <f>"Dépenses : "&amp;TEXT(S23/1000000,"# ###,##")&amp;" millions d'€"</f>
        <v>Dépenses : 211,58 millions d'€</v>
      </c>
      <c r="D35" s="30"/>
      <c r="E35" s="30"/>
      <c r="F35" s="30"/>
      <c r="G35" s="30"/>
      <c r="H35" s="30"/>
      <c r="I35" s="67"/>
      <c r="J35" s="30"/>
      <c r="K35" s="273"/>
      <c r="L35" s="47"/>
      <c r="M35" s="47"/>
      <c r="N35" s="47"/>
      <c r="O35" s="47"/>
      <c r="P35" s="47"/>
      <c r="Q35" s="27"/>
      <c r="R35" s="47"/>
      <c r="S35" s="54"/>
      <c r="T35" s="47"/>
      <c r="U35" s="47"/>
    </row>
    <row r="36" spans="2:21">
      <c r="B36" s="30"/>
      <c r="C36" s="30" t="str">
        <f>"Bénéficiaires = "&amp;TEXT(Q23,"000 000")</f>
        <v>Bénéficiaires = 524 801</v>
      </c>
      <c r="D36" s="30"/>
      <c r="E36" s="30"/>
      <c r="F36" s="30"/>
      <c r="G36" s="30"/>
      <c r="H36" s="30"/>
      <c r="I36" s="67"/>
      <c r="J36" s="30"/>
      <c r="K36" s="67"/>
      <c r="L36" s="47"/>
      <c r="M36" s="47"/>
      <c r="N36" s="47"/>
      <c r="O36" s="47"/>
      <c r="P36" s="47"/>
      <c r="Q36" s="27"/>
      <c r="R36" s="47"/>
      <c r="S36" s="54"/>
      <c r="T36" s="47"/>
      <c r="U36" s="47"/>
    </row>
    <row r="37" spans="2:21">
      <c r="B37" s="30"/>
      <c r="C37" s="30"/>
      <c r="D37" s="30"/>
      <c r="E37" s="30"/>
      <c r="F37" s="30"/>
      <c r="G37" s="30"/>
      <c r="H37" s="30"/>
      <c r="I37" s="67"/>
      <c r="J37" s="30"/>
      <c r="K37" s="30"/>
      <c r="L37" s="47"/>
      <c r="M37" s="47"/>
      <c r="N37" s="47"/>
      <c r="O37" s="47"/>
      <c r="P37" s="47"/>
      <c r="Q37" s="27"/>
      <c r="R37" s="47"/>
      <c r="S37" s="54"/>
      <c r="T37" s="47"/>
      <c r="U37" s="47"/>
    </row>
    <row r="38" spans="2:21">
      <c r="B38" s="30"/>
      <c r="C38" s="30"/>
      <c r="D38" s="30"/>
      <c r="E38" s="30"/>
      <c r="F38" s="30"/>
      <c r="G38" s="30"/>
      <c r="H38" s="30"/>
      <c r="I38" s="67"/>
      <c r="J38" s="30"/>
      <c r="K38" s="30"/>
      <c r="L38" s="47"/>
      <c r="M38" s="47"/>
      <c r="N38" s="47"/>
      <c r="O38" s="47"/>
      <c r="P38" s="47"/>
      <c r="Q38" s="27"/>
      <c r="R38" s="47"/>
      <c r="S38" s="54"/>
      <c r="T38" s="47"/>
      <c r="U38" s="47"/>
    </row>
    <row r="39" spans="2:21">
      <c r="B39" s="30"/>
      <c r="C39" s="30"/>
      <c r="D39" s="30"/>
      <c r="E39" s="30"/>
      <c r="F39" s="30"/>
      <c r="G39" s="30"/>
      <c r="H39" s="30"/>
      <c r="I39" s="67"/>
      <c r="J39" s="30"/>
      <c r="K39" s="30"/>
      <c r="L39" s="47"/>
      <c r="M39" s="47"/>
      <c r="N39" s="47"/>
      <c r="O39" s="47"/>
      <c r="P39" s="47"/>
    </row>
    <row r="40" spans="2:21">
      <c r="B40" s="30"/>
      <c r="C40" s="30"/>
      <c r="D40" s="30"/>
      <c r="E40" s="30"/>
      <c r="F40" s="30"/>
      <c r="G40" s="30"/>
      <c r="H40" s="30"/>
      <c r="I40" s="67"/>
      <c r="J40" s="30"/>
      <c r="K40" s="30"/>
      <c r="Q40" s="27"/>
      <c r="S40" s="54"/>
    </row>
    <row r="41" spans="2:21">
      <c r="B41" s="30"/>
      <c r="C41" s="30"/>
      <c r="D41" s="30"/>
      <c r="E41" s="30"/>
      <c r="F41" s="30"/>
      <c r="G41" s="30"/>
      <c r="H41" s="30"/>
      <c r="I41" s="30"/>
      <c r="J41" s="30"/>
      <c r="K41" s="30"/>
    </row>
    <row r="42" spans="2:21">
      <c r="B42" s="30"/>
      <c r="C42" s="30"/>
      <c r="D42" s="30"/>
      <c r="E42" s="30"/>
      <c r="F42" s="30"/>
      <c r="G42" s="30"/>
      <c r="H42" s="30"/>
      <c r="I42" s="30"/>
      <c r="J42" s="30"/>
      <c r="K42" s="30"/>
    </row>
    <row r="43" spans="2:21">
      <c r="B43" s="30"/>
      <c r="C43" s="30"/>
      <c r="D43" s="30"/>
      <c r="E43" s="30"/>
      <c r="F43" s="30"/>
      <c r="G43" s="30"/>
      <c r="H43" s="30"/>
      <c r="I43" s="30"/>
      <c r="J43" s="30"/>
      <c r="K43" s="30"/>
    </row>
    <row r="44" spans="2:21">
      <c r="B44" s="30"/>
      <c r="C44" s="30"/>
      <c r="D44" s="30"/>
      <c r="E44" s="30"/>
      <c r="F44" s="30"/>
      <c r="G44" s="30"/>
      <c r="H44" s="30"/>
      <c r="I44" s="30"/>
      <c r="J44" s="30"/>
      <c r="K44" s="30"/>
    </row>
    <row r="45" spans="2:21">
      <c r="B45" s="30"/>
      <c r="C45" s="30"/>
      <c r="D45" s="30"/>
      <c r="E45" s="30"/>
      <c r="F45" s="30"/>
      <c r="G45" s="30"/>
      <c r="H45" s="30"/>
      <c r="I45" s="30"/>
      <c r="J45" s="30"/>
      <c r="K45" s="30"/>
    </row>
    <row r="46" spans="2:21">
      <c r="B46" s="30"/>
      <c r="C46" s="30"/>
      <c r="D46" s="30"/>
      <c r="E46" s="30"/>
      <c r="F46" s="30"/>
      <c r="G46" s="30"/>
      <c r="H46" s="30"/>
      <c r="I46" s="30"/>
      <c r="J46" s="30"/>
      <c r="K46" s="30"/>
    </row>
    <row r="47" spans="2:21">
      <c r="B47" s="40" t="s">
        <v>285</v>
      </c>
      <c r="C47" s="30"/>
      <c r="D47" s="30"/>
      <c r="E47" s="30"/>
      <c r="F47" s="30"/>
      <c r="G47" s="30"/>
      <c r="H47" s="30"/>
      <c r="I47" s="30"/>
      <c r="J47" s="30"/>
      <c r="K47" s="30"/>
    </row>
    <row r="49" spans="2:11">
      <c r="B49" s="30"/>
      <c r="C49" s="30"/>
      <c r="D49" s="30"/>
      <c r="E49" s="30"/>
      <c r="F49" s="30"/>
      <c r="G49" s="30"/>
      <c r="H49" s="30"/>
      <c r="I49" s="30"/>
      <c r="J49" s="30"/>
      <c r="K49" s="30"/>
    </row>
    <row r="50" spans="2:11">
      <c r="B50" s="46" t="s">
        <v>282</v>
      </c>
      <c r="C50" s="30"/>
      <c r="D50" s="30"/>
      <c r="E50" s="30"/>
      <c r="F50" s="30"/>
      <c r="G50" s="30"/>
      <c r="H50" s="30"/>
      <c r="I50" s="30"/>
      <c r="J50" s="30"/>
      <c r="K50" s="30"/>
    </row>
    <row r="51" spans="2:11">
      <c r="B51" s="30"/>
      <c r="C51" s="30"/>
      <c r="D51" s="30"/>
      <c r="E51" s="30"/>
      <c r="F51" s="30"/>
      <c r="G51" s="30"/>
      <c r="H51" s="30"/>
      <c r="I51" s="30"/>
      <c r="J51" s="30"/>
      <c r="K51" s="30"/>
    </row>
    <row r="52" spans="2:11">
      <c r="B52" s="30"/>
      <c r="C52" s="30"/>
      <c r="D52" s="30"/>
      <c r="E52" s="30"/>
      <c r="F52" s="30"/>
      <c r="G52" s="30"/>
      <c r="H52" s="30"/>
      <c r="I52" s="30"/>
      <c r="J52" s="30"/>
      <c r="K52" s="30"/>
    </row>
    <row r="53" spans="2:11">
      <c r="B53" s="30"/>
      <c r="C53" s="30"/>
      <c r="D53" s="30"/>
      <c r="E53" s="30"/>
      <c r="F53" s="30"/>
      <c r="G53" s="30"/>
      <c r="H53" s="30"/>
      <c r="I53" s="30"/>
      <c r="J53" s="30"/>
      <c r="K53" s="30"/>
    </row>
    <row r="54" spans="2:11">
      <c r="B54" s="30"/>
      <c r="C54" s="30"/>
      <c r="D54" s="30"/>
      <c r="E54" s="30"/>
      <c r="F54" s="30"/>
      <c r="G54" s="30"/>
      <c r="H54" s="30"/>
      <c r="I54" s="30"/>
      <c r="J54" s="30"/>
      <c r="K54" s="30"/>
    </row>
    <row r="55" spans="2:11">
      <c r="B55" s="30"/>
      <c r="C55" s="30" t="str">
        <f>"Dépenses : "&amp;TEXT(S23/1000000,"# ###,##")&amp;" millions d'€"</f>
        <v>Dépenses : 211,58 millions d'€</v>
      </c>
      <c r="D55" s="30"/>
      <c r="E55" s="30"/>
      <c r="F55" s="30"/>
      <c r="G55" s="30"/>
      <c r="H55" s="30"/>
      <c r="I55" s="30"/>
      <c r="J55" s="30"/>
      <c r="K55" s="30"/>
    </row>
    <row r="56" spans="2:11">
      <c r="B56" s="30"/>
      <c r="C56" s="30"/>
      <c r="D56" s="30"/>
      <c r="E56" s="30"/>
      <c r="F56" s="30"/>
      <c r="G56" s="30"/>
      <c r="H56" s="30"/>
      <c r="I56" s="30"/>
      <c r="J56" s="30"/>
      <c r="K56" s="30"/>
    </row>
    <row r="57" spans="2:11">
      <c r="B57" s="30"/>
      <c r="C57" s="30"/>
      <c r="D57" s="30"/>
      <c r="E57" s="30"/>
      <c r="F57" s="30"/>
      <c r="G57" s="30"/>
      <c r="H57" s="30"/>
      <c r="I57" s="30"/>
      <c r="J57" s="30"/>
      <c r="K57" s="30"/>
    </row>
    <row r="58" spans="2:11">
      <c r="B58" s="30"/>
      <c r="C58" s="30"/>
      <c r="D58" s="30"/>
      <c r="E58" s="30"/>
      <c r="F58" s="30"/>
      <c r="G58" s="30"/>
      <c r="H58" s="30"/>
      <c r="I58" s="30"/>
      <c r="J58" s="30"/>
      <c r="K58" s="30"/>
    </row>
    <row r="59" spans="2:11">
      <c r="B59" s="30"/>
      <c r="C59" s="30"/>
      <c r="D59" s="30"/>
      <c r="E59" s="30"/>
      <c r="F59" s="30"/>
      <c r="G59" s="30"/>
      <c r="H59" s="30"/>
      <c r="I59" s="30"/>
      <c r="J59" s="30"/>
      <c r="K59" s="30"/>
    </row>
    <row r="60" spans="2:11">
      <c r="B60" s="30"/>
      <c r="C60" s="30"/>
      <c r="D60" s="30"/>
      <c r="E60" s="30"/>
      <c r="F60" s="30"/>
      <c r="G60" s="30"/>
      <c r="H60" s="30"/>
      <c r="I60" s="30"/>
      <c r="J60" s="30"/>
      <c r="K60" s="30"/>
    </row>
    <row r="61" spans="2:11">
      <c r="B61" s="30"/>
      <c r="C61" s="30"/>
      <c r="D61" s="30"/>
      <c r="E61" s="30"/>
      <c r="F61" s="30"/>
      <c r="G61" s="30"/>
      <c r="H61" s="30"/>
      <c r="I61" s="30"/>
      <c r="J61" s="30"/>
      <c r="K61" s="30"/>
    </row>
    <row r="62" spans="2:11">
      <c r="B62" s="30"/>
      <c r="C62" s="30"/>
      <c r="D62" s="30"/>
      <c r="E62" s="30"/>
      <c r="F62" s="30"/>
      <c r="G62" s="30"/>
      <c r="H62" s="30"/>
      <c r="I62" s="30"/>
      <c r="J62" s="30"/>
      <c r="K62" s="30"/>
    </row>
    <row r="63" spans="2:11">
      <c r="B63" s="30"/>
      <c r="C63" s="30"/>
      <c r="D63" s="30"/>
      <c r="E63" s="30"/>
      <c r="F63" s="30"/>
      <c r="G63" s="30"/>
      <c r="H63" s="30"/>
      <c r="I63" s="30"/>
      <c r="J63" s="30"/>
      <c r="K63" s="30"/>
    </row>
    <row r="64" spans="2:11">
      <c r="B64" s="40" t="s">
        <v>284</v>
      </c>
    </row>
    <row r="65" spans="2:11">
      <c r="B65" s="40"/>
      <c r="C65" s="30"/>
      <c r="D65" s="30"/>
      <c r="E65" s="30"/>
      <c r="F65" s="30"/>
      <c r="G65" s="30"/>
      <c r="H65" s="30"/>
      <c r="I65" s="30"/>
      <c r="J65" s="30"/>
      <c r="K65" s="30"/>
    </row>
    <row r="66" spans="2:11">
      <c r="B66" s="30"/>
      <c r="C66" s="30"/>
      <c r="D66" s="30"/>
      <c r="E66" s="30"/>
      <c r="F66" s="30"/>
      <c r="G66" s="30"/>
      <c r="H66" s="30"/>
      <c r="I66" s="30"/>
      <c r="J66" s="30"/>
      <c r="K66" s="30"/>
    </row>
    <row r="67" spans="2:11">
      <c r="B67" s="46" t="s">
        <v>186</v>
      </c>
      <c r="C67" s="30"/>
      <c r="D67" s="30"/>
      <c r="E67" s="30"/>
      <c r="F67" s="30"/>
      <c r="G67" s="30"/>
      <c r="H67" s="30"/>
      <c r="I67" s="30"/>
      <c r="J67" s="30"/>
      <c r="K67" s="30"/>
    </row>
    <row r="68" spans="2:11">
      <c r="B68" s="30"/>
      <c r="C68" s="30"/>
      <c r="D68" s="30"/>
      <c r="E68" s="30"/>
      <c r="F68" s="30"/>
      <c r="G68" s="30"/>
      <c r="H68" s="30"/>
      <c r="I68" s="30"/>
      <c r="J68" s="30"/>
      <c r="K68" s="30"/>
    </row>
    <row r="69" spans="2:11">
      <c r="B69" s="30"/>
      <c r="C69" s="30"/>
      <c r="D69" s="30"/>
      <c r="E69" s="30"/>
      <c r="F69" s="30"/>
      <c r="G69" s="30"/>
      <c r="H69" s="30"/>
      <c r="I69" s="30"/>
      <c r="J69" s="30"/>
      <c r="K69" s="30"/>
    </row>
    <row r="70" spans="2:11">
      <c r="B70" s="30"/>
      <c r="C70" s="30"/>
      <c r="D70" s="30"/>
      <c r="E70" s="30"/>
      <c r="F70" s="30"/>
      <c r="G70" s="30"/>
      <c r="H70" s="30"/>
      <c r="I70" s="30"/>
      <c r="J70" s="30"/>
      <c r="K70" s="30"/>
    </row>
    <row r="71" spans="2:11">
      <c r="B71" s="30"/>
      <c r="C71" s="30"/>
      <c r="D71" s="30"/>
      <c r="E71" s="30"/>
      <c r="F71" s="30"/>
      <c r="G71" s="30"/>
      <c r="H71" s="30"/>
      <c r="I71" s="30"/>
      <c r="J71" s="30"/>
      <c r="K71" s="30"/>
    </row>
    <row r="72" spans="2:11">
      <c r="B72" s="30"/>
      <c r="C72" s="30"/>
      <c r="D72" s="30"/>
      <c r="E72" s="30"/>
      <c r="F72" s="30"/>
      <c r="G72" s="30"/>
      <c r="H72" s="30"/>
      <c r="I72" s="30"/>
      <c r="J72" s="30"/>
      <c r="K72" s="30"/>
    </row>
    <row r="73" spans="2:11">
      <c r="B73" s="30"/>
      <c r="C73" s="30"/>
      <c r="D73" s="30"/>
      <c r="E73" s="30"/>
      <c r="F73" s="30"/>
      <c r="G73" s="30"/>
      <c r="H73" s="30"/>
      <c r="I73" s="30"/>
      <c r="J73" s="30"/>
      <c r="K73" s="30"/>
    </row>
    <row r="74" spans="2:11">
      <c r="B74" s="30"/>
      <c r="C74" s="30"/>
      <c r="D74" s="30"/>
      <c r="E74" s="30"/>
      <c r="F74" s="30"/>
      <c r="G74" s="30"/>
      <c r="H74" s="30"/>
      <c r="I74" s="30"/>
      <c r="J74" s="30"/>
      <c r="K74" s="30"/>
    </row>
    <row r="75" spans="2:11">
      <c r="B75" s="30"/>
      <c r="C75" s="30"/>
      <c r="D75" s="30"/>
      <c r="E75" s="30"/>
      <c r="F75" s="30"/>
      <c r="G75" s="30"/>
      <c r="H75" s="30"/>
      <c r="I75" s="30"/>
      <c r="J75" s="30"/>
      <c r="K75" s="30"/>
    </row>
    <row r="76" spans="2:11">
      <c r="B76" s="30"/>
      <c r="C76" s="30"/>
      <c r="D76" s="30"/>
      <c r="E76" s="30"/>
      <c r="F76" s="30"/>
      <c r="G76" s="30"/>
      <c r="H76" s="30"/>
      <c r="I76" s="30"/>
      <c r="J76" s="30"/>
      <c r="K76" s="30"/>
    </row>
    <row r="77" spans="2:11">
      <c r="B77" s="30"/>
      <c r="C77" s="30"/>
      <c r="D77" s="30"/>
      <c r="E77" s="30"/>
      <c r="F77" s="30"/>
      <c r="G77" s="30"/>
      <c r="H77" s="30"/>
      <c r="I77" s="30"/>
      <c r="J77" s="30"/>
      <c r="K77" s="30"/>
    </row>
    <row r="78" spans="2:11">
      <c r="B78" s="30"/>
      <c r="C78" s="30"/>
      <c r="D78" s="30"/>
      <c r="E78" s="30"/>
      <c r="F78" s="30"/>
      <c r="G78" s="30"/>
      <c r="H78" s="30"/>
      <c r="I78" s="30"/>
      <c r="J78" s="30"/>
      <c r="K78" s="30"/>
    </row>
    <row r="79" spans="2:11">
      <c r="B79" s="30"/>
      <c r="C79" s="30"/>
      <c r="D79" s="30"/>
      <c r="E79" s="30"/>
      <c r="F79" s="30"/>
      <c r="G79" s="30"/>
      <c r="H79" s="30"/>
      <c r="I79" s="30"/>
      <c r="J79" s="30"/>
      <c r="K79" s="30"/>
    </row>
    <row r="80" spans="2:11">
      <c r="B80" s="30"/>
      <c r="C80" s="30"/>
      <c r="D80" s="30"/>
      <c r="E80" s="30"/>
      <c r="F80" s="30"/>
      <c r="G80" s="30"/>
      <c r="H80" s="30"/>
      <c r="I80" s="30"/>
      <c r="J80" s="30"/>
      <c r="K80" s="30"/>
    </row>
    <row r="81" spans="2:11">
      <c r="B81" s="30"/>
      <c r="C81" s="30"/>
      <c r="D81" s="30"/>
      <c r="E81" s="30"/>
      <c r="F81" s="30"/>
      <c r="G81" s="30"/>
      <c r="H81" s="30"/>
      <c r="I81" s="30"/>
      <c r="J81" s="30"/>
      <c r="K81" s="30"/>
    </row>
    <row r="82" spans="2:11">
      <c r="B82" s="30"/>
      <c r="C82" s="30"/>
      <c r="D82" s="30"/>
      <c r="E82" s="30"/>
      <c r="F82" s="30"/>
      <c r="G82" s="30"/>
      <c r="H82" s="30"/>
      <c r="I82" s="30"/>
      <c r="J82" s="30"/>
      <c r="K82" s="30"/>
    </row>
    <row r="83" spans="2:11">
      <c r="B83" s="30"/>
    </row>
    <row r="84" spans="2:11">
      <c r="B84" s="40" t="s">
        <v>284</v>
      </c>
      <c r="C84" s="30"/>
      <c r="D84" s="30"/>
      <c r="E84" s="30"/>
      <c r="F84" s="30"/>
      <c r="G84" s="30"/>
      <c r="H84" s="30"/>
      <c r="I84" s="30"/>
      <c r="J84" s="30"/>
      <c r="K84" s="30"/>
    </row>
    <row r="85" spans="2:11">
      <c r="B85" s="30"/>
      <c r="C85" s="60"/>
    </row>
    <row r="86" spans="2:11" hidden="1">
      <c r="B86" s="25" t="s">
        <v>182</v>
      </c>
      <c r="C86" s="60">
        <f>V23</f>
        <v>403.1634937365568</v>
      </c>
    </row>
    <row r="87" spans="2:11" hidden="1">
      <c r="B87" s="25" t="str">
        <f>B18</f>
        <v>Soins liés à la résidence</v>
      </c>
      <c r="C87" s="60">
        <f>V18</f>
        <v>422.28044789913457</v>
      </c>
    </row>
    <row r="88" spans="2:11" hidden="1">
      <c r="B88" s="25" t="str">
        <f>B13</f>
        <v>Soins programmés</v>
      </c>
      <c r="C88" s="60">
        <f>V13</f>
        <v>3059.9462736030828</v>
      </c>
    </row>
    <row r="89" spans="2:11" hidden="1">
      <c r="B89" s="25" t="str">
        <f>B8</f>
        <v>Soins urgents</v>
      </c>
      <c r="C89" s="68">
        <f>V8</f>
        <v>235.44160542892251</v>
      </c>
    </row>
  </sheetData>
  <mergeCells count="91">
    <mergeCell ref="K23:K27"/>
    <mergeCell ref="T23:T27"/>
    <mergeCell ref="V23:V27"/>
    <mergeCell ref="J23:J27"/>
    <mergeCell ref="L23:L27"/>
    <mergeCell ref="Q23:Q27"/>
    <mergeCell ref="R23:R27"/>
    <mergeCell ref="M23:M27"/>
    <mergeCell ref="N23:N27"/>
    <mergeCell ref="O23:O27"/>
    <mergeCell ref="P23:P27"/>
    <mergeCell ref="U23:U27"/>
    <mergeCell ref="V13:V17"/>
    <mergeCell ref="T18:T22"/>
    <mergeCell ref="V18:V22"/>
    <mergeCell ref="B23:B27"/>
    <mergeCell ref="D23:D27"/>
    <mergeCell ref="E23:E27"/>
    <mergeCell ref="G23:G27"/>
    <mergeCell ref="H23:H27"/>
    <mergeCell ref="I23:I27"/>
    <mergeCell ref="Q18:Q22"/>
    <mergeCell ref="R18:R22"/>
    <mergeCell ref="S18:S22"/>
    <mergeCell ref="S13:S17"/>
    <mergeCell ref="B18:B22"/>
    <mergeCell ref="D18:D22"/>
    <mergeCell ref="S23:S27"/>
    <mergeCell ref="E18:E22"/>
    <mergeCell ref="G18:G22"/>
    <mergeCell ref="H18:H22"/>
    <mergeCell ref="I18:I22"/>
    <mergeCell ref="Q5:V5"/>
    <mergeCell ref="T6:T7"/>
    <mergeCell ref="V6:V7"/>
    <mergeCell ref="T8:T12"/>
    <mergeCell ref="V8:V12"/>
    <mergeCell ref="S8:S12"/>
    <mergeCell ref="Q6:Q7"/>
    <mergeCell ref="R6:R7"/>
    <mergeCell ref="S6:S7"/>
    <mergeCell ref="J18:J22"/>
    <mergeCell ref="K18:K22"/>
    <mergeCell ref="L18:L22"/>
    <mergeCell ref="J13:J17"/>
    <mergeCell ref="K13:K17"/>
    <mergeCell ref="L13:L17"/>
    <mergeCell ref="G8:G12"/>
    <mergeCell ref="J8:J12"/>
    <mergeCell ref="I8:I12"/>
    <mergeCell ref="K8:K12"/>
    <mergeCell ref="L8:L12"/>
    <mergeCell ref="B8:B12"/>
    <mergeCell ref="D8:D12"/>
    <mergeCell ref="E8:E12"/>
    <mergeCell ref="H8:H12"/>
    <mergeCell ref="I13:I17"/>
    <mergeCell ref="B13:B17"/>
    <mergeCell ref="D13:D17"/>
    <mergeCell ref="E13:E17"/>
    <mergeCell ref="G13:G17"/>
    <mergeCell ref="H13:H17"/>
    <mergeCell ref="D5:I5"/>
    <mergeCell ref="J5:L5"/>
    <mergeCell ref="B6:B7"/>
    <mergeCell ref="C6:C7"/>
    <mergeCell ref="D6:E6"/>
    <mergeCell ref="F6:I6"/>
    <mergeCell ref="J6:J7"/>
    <mergeCell ref="K6:K7"/>
    <mergeCell ref="L6:L7"/>
    <mergeCell ref="M5:O5"/>
    <mergeCell ref="P5:P7"/>
    <mergeCell ref="M6:M7"/>
    <mergeCell ref="N6:N7"/>
    <mergeCell ref="O6:O7"/>
    <mergeCell ref="U6:U7"/>
    <mergeCell ref="U8:U12"/>
    <mergeCell ref="U13:U17"/>
    <mergeCell ref="U18:U22"/>
    <mergeCell ref="M18:M22"/>
    <mergeCell ref="N18:N22"/>
    <mergeCell ref="O18:O22"/>
    <mergeCell ref="P18:P22"/>
    <mergeCell ref="P13:P17"/>
    <mergeCell ref="Q13:Q17"/>
    <mergeCell ref="R13:R17"/>
    <mergeCell ref="T13:T17"/>
    <mergeCell ref="Q8:Q12"/>
    <mergeCell ref="R8:R12"/>
    <mergeCell ref="P8:P12"/>
  </mergeCells>
  <hyperlinks>
    <hyperlink ref="A1" location="ACCUEIL!A1" display="ACCUEIL"/>
  </hyperlinks>
  <pageMargins left="0.7" right="0.7" top="0.75" bottom="0.75" header="0.3" footer="0.3"/>
  <pageSetup paperSize="9" orientation="portrait" r:id="rId1"/>
  <ignoredErrors>
    <ignoredError sqref="S24:S27 S14:S17 I23 S19:S22" formula="1"/>
  </ignoredErrors>
  <drawing r:id="rId2"/>
</worksheet>
</file>

<file path=xl/worksheets/sheet12.xml><?xml version="1.0" encoding="utf-8"?>
<worksheet xmlns="http://schemas.openxmlformats.org/spreadsheetml/2006/main" xmlns:r="http://schemas.openxmlformats.org/officeDocument/2006/relationships">
  <dimension ref="A3:L25"/>
  <sheetViews>
    <sheetView zoomScale="80" zoomScaleNormal="80" workbookViewId="0">
      <selection activeCell="G26" sqref="G26"/>
    </sheetView>
  </sheetViews>
  <sheetFormatPr baseColWidth="10" defaultRowHeight="15"/>
  <cols>
    <col min="1" max="1" width="21.42578125" bestFit="1" customWidth="1"/>
    <col min="2" max="2" width="12.28515625" bestFit="1" customWidth="1"/>
    <col min="3" max="3" width="18.42578125" bestFit="1" customWidth="1"/>
    <col min="4" max="4" width="14.5703125" bestFit="1" customWidth="1"/>
    <col min="5" max="5" width="22.42578125" bestFit="1" customWidth="1"/>
    <col min="6" max="6" width="18.42578125" bestFit="1" customWidth="1"/>
    <col min="7" max="7" width="14.5703125" bestFit="1" customWidth="1"/>
    <col min="8" max="8" width="12.28515625" bestFit="1" customWidth="1"/>
    <col min="9" max="9" width="12.28515625" customWidth="1"/>
    <col min="10" max="10" width="18.42578125" bestFit="1" customWidth="1"/>
    <col min="11" max="11" width="19.5703125" bestFit="1" customWidth="1"/>
    <col min="12" max="12" width="14.5703125" bestFit="1" customWidth="1"/>
  </cols>
  <sheetData>
    <row r="3" spans="1:12">
      <c r="B3" s="413" t="s">
        <v>193</v>
      </c>
      <c r="C3" s="413"/>
      <c r="D3" s="414"/>
      <c r="E3" s="413" t="s">
        <v>194</v>
      </c>
      <c r="F3" s="413"/>
      <c r="G3" s="414"/>
      <c r="H3" s="413" t="s">
        <v>188</v>
      </c>
      <c r="I3" s="413"/>
      <c r="J3" s="413"/>
      <c r="K3" s="413"/>
      <c r="L3" s="414"/>
    </row>
    <row r="4" spans="1:12" ht="15" customHeight="1">
      <c r="B4" s="397" t="s">
        <v>159</v>
      </c>
      <c r="C4" s="397" t="s">
        <v>2</v>
      </c>
      <c r="D4" s="397" t="s">
        <v>177</v>
      </c>
      <c r="E4" s="397" t="s">
        <v>184</v>
      </c>
      <c r="F4" s="397" t="s">
        <v>2</v>
      </c>
      <c r="G4" s="397" t="s">
        <v>177</v>
      </c>
      <c r="H4" s="397" t="s">
        <v>159</v>
      </c>
      <c r="I4" s="397" t="s">
        <v>184</v>
      </c>
      <c r="J4" s="397" t="s">
        <v>2</v>
      </c>
      <c r="K4" s="397" t="s">
        <v>185</v>
      </c>
      <c r="L4" s="397" t="s">
        <v>177</v>
      </c>
    </row>
    <row r="5" spans="1:12">
      <c r="B5" s="398"/>
      <c r="C5" s="398"/>
      <c r="D5" s="398"/>
      <c r="E5" s="398"/>
      <c r="F5" s="398"/>
      <c r="G5" s="398"/>
      <c r="H5" s="398"/>
      <c r="I5" s="398"/>
      <c r="J5" s="398"/>
      <c r="K5" s="398"/>
      <c r="L5" s="398"/>
    </row>
    <row r="6" spans="1:12">
      <c r="A6" s="399" t="s">
        <v>195</v>
      </c>
      <c r="B6" s="494">
        <v>310181</v>
      </c>
      <c r="C6" s="480">
        <v>129368180.84</v>
      </c>
      <c r="D6" s="483">
        <f>C6/B6</f>
        <v>417.07319545684618</v>
      </c>
      <c r="E6" s="476">
        <v>99282</v>
      </c>
      <c r="F6" s="476">
        <v>28270941.830000002</v>
      </c>
      <c r="G6" s="484">
        <f>F6/E6</f>
        <v>284.75395167301224</v>
      </c>
      <c r="H6" s="485">
        <f>B6+E6</f>
        <v>409463</v>
      </c>
      <c r="I6" s="518">
        <f>H6/$H$21</f>
        <v>0.42566597535176492</v>
      </c>
      <c r="J6" s="488">
        <f>C6+F6</f>
        <v>157639122.67000002</v>
      </c>
      <c r="K6" s="491">
        <f>J6/$J$21</f>
        <v>0.23020140804664718</v>
      </c>
      <c r="L6" s="479">
        <f>J6/H6</f>
        <v>384.98990792818893</v>
      </c>
    </row>
    <row r="7" spans="1:12">
      <c r="A7" s="399"/>
      <c r="B7" s="495"/>
      <c r="C7" s="481"/>
      <c r="D7" s="483"/>
      <c r="E7" s="477"/>
      <c r="F7" s="477"/>
      <c r="G7" s="484"/>
      <c r="H7" s="486"/>
      <c r="I7" s="519"/>
      <c r="J7" s="489"/>
      <c r="K7" s="492"/>
      <c r="L7" s="479"/>
    </row>
    <row r="8" spans="1:12">
      <c r="A8" s="399"/>
      <c r="B8" s="495"/>
      <c r="C8" s="481"/>
      <c r="D8" s="483"/>
      <c r="E8" s="477"/>
      <c r="F8" s="477"/>
      <c r="G8" s="484"/>
      <c r="H8" s="486"/>
      <c r="I8" s="519"/>
      <c r="J8" s="489"/>
      <c r="K8" s="492"/>
      <c r="L8" s="479"/>
    </row>
    <row r="9" spans="1:12">
      <c r="A9" s="399"/>
      <c r="B9" s="495"/>
      <c r="C9" s="481"/>
      <c r="D9" s="483"/>
      <c r="E9" s="477"/>
      <c r="F9" s="477"/>
      <c r="G9" s="484"/>
      <c r="H9" s="486"/>
      <c r="I9" s="519"/>
      <c r="J9" s="489"/>
      <c r="K9" s="492"/>
      <c r="L9" s="479"/>
    </row>
    <row r="10" spans="1:12">
      <c r="A10" s="399"/>
      <c r="B10" s="496"/>
      <c r="C10" s="482"/>
      <c r="D10" s="483"/>
      <c r="E10" s="478"/>
      <c r="F10" s="478"/>
      <c r="G10" s="484"/>
      <c r="H10" s="487"/>
      <c r="I10" s="520"/>
      <c r="J10" s="490"/>
      <c r="K10" s="493"/>
      <c r="L10" s="479"/>
    </row>
    <row r="11" spans="1:12">
      <c r="A11" s="404" t="s">
        <v>151</v>
      </c>
      <c r="B11" s="494">
        <v>57947</v>
      </c>
      <c r="C11" s="497">
        <v>163938155.55999997</v>
      </c>
      <c r="D11" s="483">
        <f t="shared" ref="D11" si="0">C11/B11</f>
        <v>2829.1051402143335</v>
      </c>
      <c r="E11" s="498">
        <v>3011</v>
      </c>
      <c r="F11" s="498">
        <v>3852738.6999999993</v>
      </c>
      <c r="G11" s="484">
        <f t="shared" ref="G11" si="1">F11/E11</f>
        <v>1279.5545333776151</v>
      </c>
      <c r="H11" s="485">
        <f t="shared" ref="H11" si="2">B11+E11</f>
        <v>60958</v>
      </c>
      <c r="I11" s="518">
        <f t="shared" ref="I11" si="3">H11/$H$21</f>
        <v>6.337018613523783E-2</v>
      </c>
      <c r="J11" s="488">
        <f t="shared" ref="J11" si="4">C11+F11</f>
        <v>167790894.25999996</v>
      </c>
      <c r="K11" s="491">
        <f t="shared" ref="K11" si="5">J11/$J$21</f>
        <v>0.24502610431876543</v>
      </c>
      <c r="L11" s="479">
        <f t="shared" ref="L11" si="6">J11/H11</f>
        <v>2752.5656068112467</v>
      </c>
    </row>
    <row r="12" spans="1:12">
      <c r="A12" s="404"/>
      <c r="B12" s="495"/>
      <c r="C12" s="497"/>
      <c r="D12" s="483"/>
      <c r="E12" s="498"/>
      <c r="F12" s="498"/>
      <c r="G12" s="484"/>
      <c r="H12" s="486"/>
      <c r="I12" s="519"/>
      <c r="J12" s="489"/>
      <c r="K12" s="492"/>
      <c r="L12" s="479"/>
    </row>
    <row r="13" spans="1:12">
      <c r="A13" s="404"/>
      <c r="B13" s="495"/>
      <c r="C13" s="497"/>
      <c r="D13" s="483"/>
      <c r="E13" s="498"/>
      <c r="F13" s="498"/>
      <c r="G13" s="484"/>
      <c r="H13" s="486"/>
      <c r="I13" s="519"/>
      <c r="J13" s="489"/>
      <c r="K13" s="492"/>
      <c r="L13" s="479"/>
    </row>
    <row r="14" spans="1:12">
      <c r="A14" s="404"/>
      <c r="B14" s="495"/>
      <c r="C14" s="497"/>
      <c r="D14" s="483"/>
      <c r="E14" s="498"/>
      <c r="F14" s="498"/>
      <c r="G14" s="484"/>
      <c r="H14" s="486"/>
      <c r="I14" s="519"/>
      <c r="J14" s="489"/>
      <c r="K14" s="492"/>
      <c r="L14" s="479"/>
    </row>
    <row r="15" spans="1:12">
      <c r="A15" s="404"/>
      <c r="B15" s="496"/>
      <c r="C15" s="497"/>
      <c r="D15" s="483"/>
      <c r="E15" s="498"/>
      <c r="F15" s="498"/>
      <c r="G15" s="484"/>
      <c r="H15" s="487"/>
      <c r="I15" s="520"/>
      <c r="J15" s="490"/>
      <c r="K15" s="493"/>
      <c r="L15" s="479"/>
    </row>
    <row r="16" spans="1:12">
      <c r="A16" s="399" t="s">
        <v>191</v>
      </c>
      <c r="B16" s="500">
        <v>131617</v>
      </c>
      <c r="C16" s="503">
        <v>190025905.78000003</v>
      </c>
      <c r="D16" s="483">
        <f t="shared" ref="D16" si="7">C16/B16</f>
        <v>1443.7793429420215</v>
      </c>
      <c r="E16" s="521">
        <v>359897</v>
      </c>
      <c r="F16" s="521">
        <v>169331907.25</v>
      </c>
      <c r="G16" s="484">
        <f t="shared" ref="G16" si="8">F16/E16</f>
        <v>470.50102459870465</v>
      </c>
      <c r="H16" s="485">
        <f t="shared" ref="H16" si="9">B16+E16</f>
        <v>491514</v>
      </c>
      <c r="I16" s="518">
        <f t="shared" ref="I16" si="10">H16/$H$21</f>
        <v>0.5109638385129972</v>
      </c>
      <c r="J16" s="488">
        <f t="shared" ref="J16" si="11">C16+F16</f>
        <v>359357813.03000003</v>
      </c>
      <c r="K16" s="491">
        <f t="shared" ref="K16" si="12">J16/$J$21</f>
        <v>0.52477248763458739</v>
      </c>
      <c r="L16" s="479">
        <f t="shared" ref="L16" si="13">J16/H16</f>
        <v>731.12426712158765</v>
      </c>
    </row>
    <row r="17" spans="1:12">
      <c r="A17" s="399"/>
      <c r="B17" s="501"/>
      <c r="C17" s="504"/>
      <c r="D17" s="483"/>
      <c r="E17" s="522"/>
      <c r="F17" s="522"/>
      <c r="G17" s="484"/>
      <c r="H17" s="486"/>
      <c r="I17" s="519"/>
      <c r="J17" s="489"/>
      <c r="K17" s="492"/>
      <c r="L17" s="479"/>
    </row>
    <row r="18" spans="1:12">
      <c r="A18" s="399"/>
      <c r="B18" s="501"/>
      <c r="C18" s="504"/>
      <c r="D18" s="483"/>
      <c r="E18" s="522"/>
      <c r="F18" s="522"/>
      <c r="G18" s="484"/>
      <c r="H18" s="486"/>
      <c r="I18" s="519"/>
      <c r="J18" s="489"/>
      <c r="K18" s="492"/>
      <c r="L18" s="479"/>
    </row>
    <row r="19" spans="1:12">
      <c r="A19" s="399"/>
      <c r="B19" s="501"/>
      <c r="C19" s="504"/>
      <c r="D19" s="483"/>
      <c r="E19" s="522"/>
      <c r="F19" s="522"/>
      <c r="G19" s="484"/>
      <c r="H19" s="486"/>
      <c r="I19" s="519"/>
      <c r="J19" s="489"/>
      <c r="K19" s="492"/>
      <c r="L19" s="479"/>
    </row>
    <row r="20" spans="1:12">
      <c r="A20" s="399"/>
      <c r="B20" s="502"/>
      <c r="C20" s="505"/>
      <c r="D20" s="483"/>
      <c r="E20" s="523"/>
      <c r="F20" s="523"/>
      <c r="G20" s="484"/>
      <c r="H20" s="487"/>
      <c r="I20" s="520"/>
      <c r="J20" s="490"/>
      <c r="K20" s="493"/>
      <c r="L20" s="479"/>
    </row>
    <row r="21" spans="1:12">
      <c r="A21" s="517" t="s">
        <v>182</v>
      </c>
      <c r="B21" s="499">
        <v>499745</v>
      </c>
      <c r="C21" s="524">
        <v>483332242.17999995</v>
      </c>
      <c r="D21" s="483">
        <f t="shared" ref="D21" si="14">C21/B21</f>
        <v>967.15773480475036</v>
      </c>
      <c r="E21" s="506">
        <v>462190</v>
      </c>
      <c r="F21" s="506">
        <v>201455587.78000003</v>
      </c>
      <c r="G21" s="507">
        <f t="shared" ref="G21" si="15">F21/E21</f>
        <v>435.87180116402351</v>
      </c>
      <c r="H21" s="508">
        <f t="shared" ref="H21" si="16">B21+E21</f>
        <v>961935</v>
      </c>
      <c r="I21" s="518">
        <f t="shared" ref="I21" si="17">H21/$H$21</f>
        <v>1</v>
      </c>
      <c r="J21" s="511">
        <f t="shared" ref="J21" si="18">C21+F21</f>
        <v>684787829.96000004</v>
      </c>
      <c r="K21" s="514">
        <f t="shared" ref="K21" si="19">J21/$J$21</f>
        <v>1</v>
      </c>
      <c r="L21" s="479">
        <f t="shared" ref="L21" si="20">J21/H21</f>
        <v>711.88576147036963</v>
      </c>
    </row>
    <row r="22" spans="1:12">
      <c r="A22" s="517"/>
      <c r="B22" s="499"/>
      <c r="C22" s="524"/>
      <c r="D22" s="483"/>
      <c r="E22" s="506"/>
      <c r="F22" s="506"/>
      <c r="G22" s="507"/>
      <c r="H22" s="509"/>
      <c r="I22" s="519"/>
      <c r="J22" s="512"/>
      <c r="K22" s="515"/>
      <c r="L22" s="479"/>
    </row>
    <row r="23" spans="1:12">
      <c r="A23" s="517"/>
      <c r="B23" s="499"/>
      <c r="C23" s="524"/>
      <c r="D23" s="483"/>
      <c r="E23" s="506"/>
      <c r="F23" s="506"/>
      <c r="G23" s="507"/>
      <c r="H23" s="509"/>
      <c r="I23" s="519"/>
      <c r="J23" s="512"/>
      <c r="K23" s="515"/>
      <c r="L23" s="479"/>
    </row>
    <row r="24" spans="1:12">
      <c r="A24" s="517"/>
      <c r="B24" s="499"/>
      <c r="C24" s="524"/>
      <c r="D24" s="483"/>
      <c r="E24" s="506"/>
      <c r="F24" s="506"/>
      <c r="G24" s="507"/>
      <c r="H24" s="509"/>
      <c r="I24" s="519"/>
      <c r="J24" s="512"/>
      <c r="K24" s="515"/>
      <c r="L24" s="479"/>
    </row>
    <row r="25" spans="1:12">
      <c r="A25" s="517"/>
      <c r="B25" s="499"/>
      <c r="C25" s="524"/>
      <c r="D25" s="483"/>
      <c r="E25" s="506"/>
      <c r="F25" s="506"/>
      <c r="G25" s="507"/>
      <c r="H25" s="510"/>
      <c r="I25" s="520"/>
      <c r="J25" s="513"/>
      <c r="K25" s="516"/>
      <c r="L25" s="479"/>
    </row>
  </sheetData>
  <mergeCells count="62">
    <mergeCell ref="A6:A10"/>
    <mergeCell ref="A11:A15"/>
    <mergeCell ref="A16:A20"/>
    <mergeCell ref="A21:A25"/>
    <mergeCell ref="I4:I5"/>
    <mergeCell ref="I6:I10"/>
    <mergeCell ref="I11:I15"/>
    <mergeCell ref="I16:I20"/>
    <mergeCell ref="I21:I25"/>
    <mergeCell ref="E16:E20"/>
    <mergeCell ref="F16:F20"/>
    <mergeCell ref="G16:G20"/>
    <mergeCell ref="E21:E25"/>
    <mergeCell ref="C21:C25"/>
    <mergeCell ref="D21:D25"/>
    <mergeCell ref="E11:E15"/>
    <mergeCell ref="B21:B25"/>
    <mergeCell ref="L16:L20"/>
    <mergeCell ref="B16:B20"/>
    <mergeCell ref="C16:C20"/>
    <mergeCell ref="D16:D20"/>
    <mergeCell ref="F21:F25"/>
    <mergeCell ref="G21:G25"/>
    <mergeCell ref="H21:H25"/>
    <mergeCell ref="J21:J25"/>
    <mergeCell ref="K21:K25"/>
    <mergeCell ref="L21:L25"/>
    <mergeCell ref="H16:H20"/>
    <mergeCell ref="J16:J20"/>
    <mergeCell ref="K16:K20"/>
    <mergeCell ref="B11:B15"/>
    <mergeCell ref="C11:C15"/>
    <mergeCell ref="F11:F15"/>
    <mergeCell ref="G11:G15"/>
    <mergeCell ref="H11:H15"/>
    <mergeCell ref="D11:D15"/>
    <mergeCell ref="J11:J15"/>
    <mergeCell ref="K11:K15"/>
    <mergeCell ref="L11:L15"/>
    <mergeCell ref="J6:J10"/>
    <mergeCell ref="B3:D3"/>
    <mergeCell ref="K6:K10"/>
    <mergeCell ref="H4:H5"/>
    <mergeCell ref="J4:J5"/>
    <mergeCell ref="K4:K5"/>
    <mergeCell ref="B6:B10"/>
    <mergeCell ref="E3:G3"/>
    <mergeCell ref="H3:L3"/>
    <mergeCell ref="L4:L5"/>
    <mergeCell ref="B4:B5"/>
    <mergeCell ref="C4:C5"/>
    <mergeCell ref="D4:D5"/>
    <mergeCell ref="L6:L10"/>
    <mergeCell ref="C6:C10"/>
    <mergeCell ref="D6:D10"/>
    <mergeCell ref="G6:G10"/>
    <mergeCell ref="H6:H10"/>
    <mergeCell ref="E4:E5"/>
    <mergeCell ref="F4:F5"/>
    <mergeCell ref="G4:G5"/>
    <mergeCell ref="E6:E10"/>
    <mergeCell ref="F6:F10"/>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9" tint="-0.249977111117893"/>
  </sheetPr>
  <dimension ref="A1:AT56"/>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baseColWidth="10" defaultRowHeight="15"/>
  <cols>
    <col min="1" max="1" width="15.42578125" style="25" customWidth="1"/>
    <col min="2" max="2" width="13.85546875" style="25" bestFit="1" customWidth="1"/>
    <col min="3" max="3" width="16.5703125" style="25" customWidth="1"/>
    <col min="4" max="4" width="16.5703125" style="25" bestFit="1" customWidth="1"/>
    <col min="5" max="6" width="15.5703125" style="25" bestFit="1" customWidth="1"/>
    <col min="7" max="7" width="16.5703125" style="25" bestFit="1" customWidth="1"/>
    <col min="8" max="8" width="17.5703125" style="25" bestFit="1" customWidth="1"/>
    <col min="9" max="9" width="12.85546875" style="25" bestFit="1" customWidth="1"/>
    <col min="10" max="10" width="14" style="25" customWidth="1"/>
    <col min="11" max="11" width="16.5703125" style="25" bestFit="1" customWidth="1"/>
    <col min="12" max="12" width="14.7109375" style="25" bestFit="1" customWidth="1"/>
    <col min="13" max="13" width="15.5703125" style="25" bestFit="1" customWidth="1"/>
    <col min="14" max="14" width="15.140625" style="25" bestFit="1" customWidth="1"/>
    <col min="15" max="15" width="17.5703125" style="25" bestFit="1" customWidth="1"/>
    <col min="16" max="16" width="12.85546875" style="25" bestFit="1" customWidth="1"/>
    <col min="17" max="17" width="17.85546875" style="25" bestFit="1" customWidth="1"/>
    <col min="18" max="18" width="16.5703125" style="25" bestFit="1" customWidth="1"/>
    <col min="19" max="19" width="15.5703125" style="25" bestFit="1" customWidth="1"/>
    <col min="20" max="21" width="16.5703125" style="25" bestFit="1" customWidth="1"/>
    <col min="22" max="22" width="17.5703125" style="25" bestFit="1" customWidth="1"/>
    <col min="23" max="23" width="13.85546875" style="25" bestFit="1" customWidth="1"/>
    <col min="24" max="24" width="17.85546875" style="25" bestFit="1" customWidth="1"/>
    <col min="25" max="25" width="16.5703125" style="25" bestFit="1" customWidth="1"/>
    <col min="26" max="26" width="15.5703125" style="25" bestFit="1" customWidth="1"/>
    <col min="27" max="27" width="16.5703125" style="25" bestFit="1" customWidth="1"/>
    <col min="28" max="28" width="17.85546875" style="25" bestFit="1" customWidth="1"/>
    <col min="29" max="29" width="17.5703125" style="25" bestFit="1" customWidth="1"/>
    <col min="30" max="30" width="13.85546875" style="25" bestFit="1" customWidth="1"/>
    <col min="31" max="31" width="17.85546875" style="25" bestFit="1" customWidth="1"/>
    <col min="32" max="32" width="12.7109375" style="25" bestFit="1" customWidth="1"/>
    <col min="33" max="33" width="13.85546875" style="25" bestFit="1" customWidth="1"/>
    <col min="34" max="34" width="12.85546875" style="25" bestFit="1" customWidth="1"/>
    <col min="35" max="35" width="13.5703125" style="25" customWidth="1"/>
    <col min="36" max="36" width="12.85546875" style="25" bestFit="1" customWidth="1"/>
    <col min="37" max="37" width="16.5703125" style="25" bestFit="1" customWidth="1"/>
    <col min="38" max="40" width="16.5703125" style="25" customWidth="1"/>
    <col min="41" max="41" width="13.85546875" style="25" bestFit="1" customWidth="1"/>
    <col min="42" max="42" width="17.85546875" style="25" bestFit="1" customWidth="1"/>
    <col min="43" max="43" width="11.7109375" style="25" bestFit="1" customWidth="1"/>
    <col min="44" max="44" width="15" style="25" bestFit="1" customWidth="1"/>
    <col min="45" max="16384" width="11.42578125" style="25"/>
  </cols>
  <sheetData>
    <row r="1" spans="1:46" ht="15.75" thickBot="1">
      <c r="A1" s="28" t="s">
        <v>206</v>
      </c>
    </row>
    <row r="3" spans="1:46" ht="15.75" customHeight="1"/>
    <row r="4" spans="1:46" ht="15" customHeight="1">
      <c r="A4" s="2"/>
      <c r="B4" s="340" t="s">
        <v>156</v>
      </c>
      <c r="C4" s="341"/>
      <c r="D4" s="341"/>
      <c r="E4" s="341"/>
      <c r="F4" s="341"/>
      <c r="G4" s="341"/>
      <c r="H4" s="342"/>
      <c r="I4" s="332" t="s">
        <v>0</v>
      </c>
      <c r="J4" s="333"/>
      <c r="K4" s="333"/>
      <c r="L4" s="333"/>
      <c r="M4" s="333"/>
      <c r="N4" s="333"/>
      <c r="O4" s="334"/>
      <c r="P4" s="343" t="s">
        <v>253</v>
      </c>
      <c r="Q4" s="344"/>
      <c r="R4" s="344"/>
      <c r="S4" s="344"/>
      <c r="T4" s="344"/>
      <c r="U4" s="344"/>
      <c r="V4" s="345"/>
      <c r="W4" s="324" t="s">
        <v>157</v>
      </c>
      <c r="X4" s="325"/>
      <c r="Y4" s="325"/>
      <c r="Z4" s="325"/>
      <c r="AA4" s="325"/>
      <c r="AB4" s="325"/>
      <c r="AC4" s="326"/>
      <c r="AD4" s="311" t="s">
        <v>254</v>
      </c>
      <c r="AE4" s="312"/>
      <c r="AF4" s="308" t="s">
        <v>255</v>
      </c>
      <c r="AG4" s="308"/>
      <c r="AH4" s="317" t="s">
        <v>256</v>
      </c>
      <c r="AI4" s="317"/>
      <c r="AJ4" s="320" t="s">
        <v>257</v>
      </c>
      <c r="AK4" s="321"/>
      <c r="AL4" s="299" t="s">
        <v>294</v>
      </c>
      <c r="AM4" s="300"/>
      <c r="AN4" s="303" t="s">
        <v>295</v>
      </c>
      <c r="AO4" s="307" t="s">
        <v>47</v>
      </c>
      <c r="AP4" s="307"/>
      <c r="AQ4" s="307"/>
    </row>
    <row r="5" spans="1:46" ht="15" customHeight="1">
      <c r="A5" s="2"/>
      <c r="B5" s="346" t="s">
        <v>159</v>
      </c>
      <c r="C5" s="348" t="s">
        <v>2</v>
      </c>
      <c r="D5" s="354" t="s">
        <v>251</v>
      </c>
      <c r="E5" s="355"/>
      <c r="F5" s="355"/>
      <c r="G5" s="355"/>
      <c r="H5" s="356"/>
      <c r="I5" s="357" t="s">
        <v>159</v>
      </c>
      <c r="J5" s="350" t="s">
        <v>2</v>
      </c>
      <c r="K5" s="335" t="s">
        <v>251</v>
      </c>
      <c r="L5" s="336"/>
      <c r="M5" s="336"/>
      <c r="N5" s="336"/>
      <c r="O5" s="337"/>
      <c r="P5" s="359" t="s">
        <v>159</v>
      </c>
      <c r="Q5" s="352" t="s">
        <v>2</v>
      </c>
      <c r="R5" s="361" t="s">
        <v>251</v>
      </c>
      <c r="S5" s="362"/>
      <c r="T5" s="362"/>
      <c r="U5" s="362"/>
      <c r="V5" s="363"/>
      <c r="W5" s="327" t="s">
        <v>159</v>
      </c>
      <c r="X5" s="338" t="s">
        <v>2</v>
      </c>
      <c r="Y5" s="329" t="s">
        <v>251</v>
      </c>
      <c r="Z5" s="330"/>
      <c r="AA5" s="330"/>
      <c r="AB5" s="330"/>
      <c r="AC5" s="331"/>
      <c r="AD5" s="313" t="s">
        <v>159</v>
      </c>
      <c r="AE5" s="315" t="s">
        <v>2</v>
      </c>
      <c r="AF5" s="309" t="s">
        <v>159</v>
      </c>
      <c r="AG5" s="309" t="s">
        <v>2</v>
      </c>
      <c r="AH5" s="318" t="s">
        <v>159</v>
      </c>
      <c r="AI5" s="318" t="s">
        <v>2</v>
      </c>
      <c r="AJ5" s="322" t="s">
        <v>159</v>
      </c>
      <c r="AK5" s="322" t="s">
        <v>2</v>
      </c>
      <c r="AL5" s="301" t="s">
        <v>159</v>
      </c>
      <c r="AM5" s="301" t="s">
        <v>2</v>
      </c>
      <c r="AN5" s="304"/>
      <c r="AO5" s="305" t="s">
        <v>159</v>
      </c>
      <c r="AP5" s="306" t="s">
        <v>354</v>
      </c>
      <c r="AQ5" s="305" t="s">
        <v>177</v>
      </c>
    </row>
    <row r="6" spans="1:46" ht="31.5" customHeight="1">
      <c r="A6" s="3"/>
      <c r="B6" s="347"/>
      <c r="C6" s="349"/>
      <c r="D6" s="48" t="s">
        <v>43</v>
      </c>
      <c r="E6" s="48" t="s">
        <v>42</v>
      </c>
      <c r="F6" s="48" t="s">
        <v>41</v>
      </c>
      <c r="G6" s="48" t="s">
        <v>252</v>
      </c>
      <c r="H6" s="48" t="s">
        <v>39</v>
      </c>
      <c r="I6" s="358"/>
      <c r="J6" s="351"/>
      <c r="K6" s="49" t="s">
        <v>43</v>
      </c>
      <c r="L6" s="49" t="s">
        <v>42</v>
      </c>
      <c r="M6" s="49" t="s">
        <v>41</v>
      </c>
      <c r="N6" s="49" t="s">
        <v>252</v>
      </c>
      <c r="O6" s="49" t="s">
        <v>39</v>
      </c>
      <c r="P6" s="360"/>
      <c r="Q6" s="353"/>
      <c r="R6" s="50" t="s">
        <v>43</v>
      </c>
      <c r="S6" s="50" t="s">
        <v>42</v>
      </c>
      <c r="T6" s="50" t="s">
        <v>41</v>
      </c>
      <c r="U6" s="50" t="s">
        <v>252</v>
      </c>
      <c r="V6" s="50" t="s">
        <v>39</v>
      </c>
      <c r="W6" s="328"/>
      <c r="X6" s="339"/>
      <c r="Y6" s="51" t="s">
        <v>43</v>
      </c>
      <c r="Z6" s="51" t="s">
        <v>42</v>
      </c>
      <c r="AA6" s="51" t="s">
        <v>41</v>
      </c>
      <c r="AB6" s="51" t="s">
        <v>252</v>
      </c>
      <c r="AC6" s="51" t="s">
        <v>39</v>
      </c>
      <c r="AD6" s="314"/>
      <c r="AE6" s="316"/>
      <c r="AF6" s="310"/>
      <c r="AG6" s="310"/>
      <c r="AH6" s="319"/>
      <c r="AI6" s="319"/>
      <c r="AJ6" s="323"/>
      <c r="AK6" s="323"/>
      <c r="AL6" s="302"/>
      <c r="AM6" s="302"/>
      <c r="AN6" s="304"/>
      <c r="AO6" s="305"/>
      <c r="AP6" s="305"/>
      <c r="AQ6" s="305"/>
    </row>
    <row r="7" spans="1:46" ht="15" customHeight="1">
      <c r="A7" s="86" t="s">
        <v>1</v>
      </c>
      <c r="B7" s="154">
        <v>29531</v>
      </c>
      <c r="C7" s="155">
        <f>SUM(D7:H7)</f>
        <v>12419447.560000002</v>
      </c>
      <c r="D7" s="155">
        <v>2151525.0400000005</v>
      </c>
      <c r="E7" s="155">
        <v>352055.99999999994</v>
      </c>
      <c r="F7" s="155">
        <v>642967.72000000009</v>
      </c>
      <c r="G7" s="155">
        <v>8046677.4200000009</v>
      </c>
      <c r="H7" s="155">
        <v>1226221.3800000001</v>
      </c>
      <c r="I7" s="154">
        <v>1267</v>
      </c>
      <c r="J7" s="155">
        <f>SUM(K7:O7)</f>
        <v>7328243.7400000002</v>
      </c>
      <c r="K7" s="155">
        <v>1818065.4400000002</v>
      </c>
      <c r="L7" s="155">
        <v>934.22</v>
      </c>
      <c r="M7" s="155">
        <v>440470.83</v>
      </c>
      <c r="N7" s="155">
        <v>3762181.35</v>
      </c>
      <c r="O7" s="155">
        <v>1306591.9000000001</v>
      </c>
      <c r="P7" s="154">
        <v>16705</v>
      </c>
      <c r="Q7" s="155">
        <f>SUM(R7:V7)</f>
        <v>19976996.5</v>
      </c>
      <c r="R7" s="155">
        <v>3403515.6900000004</v>
      </c>
      <c r="S7" s="155">
        <v>805867.62</v>
      </c>
      <c r="T7" s="155">
        <v>3849873.4800000004</v>
      </c>
      <c r="U7" s="155">
        <v>7027540.7199999988</v>
      </c>
      <c r="V7" s="155">
        <v>4890198.99</v>
      </c>
      <c r="W7" s="154">
        <f>B7+I7+P7</f>
        <v>47503</v>
      </c>
      <c r="X7" s="155">
        <f>C7+J7+Q7</f>
        <v>39724687.800000004</v>
      </c>
      <c r="Y7" s="155">
        <f t="shared" ref="Y7:AC7" si="0">D7+K7+R7</f>
        <v>7373106.1700000009</v>
      </c>
      <c r="Z7" s="155">
        <f t="shared" si="0"/>
        <v>1158857.8399999999</v>
      </c>
      <c r="AA7" s="155">
        <f t="shared" si="0"/>
        <v>4933312.03</v>
      </c>
      <c r="AB7" s="155">
        <f t="shared" si="0"/>
        <v>18836399.490000002</v>
      </c>
      <c r="AC7" s="155">
        <f t="shared" si="0"/>
        <v>7423012.2700000005</v>
      </c>
      <c r="AD7" s="155">
        <f>W7</f>
        <v>47503</v>
      </c>
      <c r="AE7" s="155">
        <f>X7</f>
        <v>39724687.800000004</v>
      </c>
      <c r="AF7" s="155">
        <v>0</v>
      </c>
      <c r="AG7" s="155">
        <v>0</v>
      </c>
      <c r="AH7" s="155">
        <v>1</v>
      </c>
      <c r="AI7" s="155">
        <v>-2510.42</v>
      </c>
      <c r="AJ7" s="155">
        <f>AF7+AH7</f>
        <v>1</v>
      </c>
      <c r="AK7" s="155">
        <f>AG7+AI7</f>
        <v>-2510.42</v>
      </c>
      <c r="AL7" s="154">
        <v>4</v>
      </c>
      <c r="AM7" s="154">
        <v>26.957693234806577</v>
      </c>
      <c r="AN7" s="154">
        <v>0</v>
      </c>
      <c r="AO7" s="154">
        <f>AD7+AJ7+AL7</f>
        <v>47508</v>
      </c>
      <c r="AP7" s="154">
        <f>AE7+AK7+AM7</f>
        <v>39722204.337693237</v>
      </c>
      <c r="AQ7" s="154">
        <f>AP7/AO7</f>
        <v>836.11611386910067</v>
      </c>
    </row>
    <row r="8" spans="1:46">
      <c r="A8" s="86" t="s">
        <v>3</v>
      </c>
      <c r="B8" s="154">
        <v>3667</v>
      </c>
      <c r="C8" s="155">
        <f t="shared" ref="C8:C37" si="1">SUM(D8:H8)</f>
        <v>1498904.9100000001</v>
      </c>
      <c r="D8" s="155">
        <v>220305.46000000002</v>
      </c>
      <c r="E8" s="155">
        <v>18657.099999999999</v>
      </c>
      <c r="F8" s="155">
        <v>33126.159999999996</v>
      </c>
      <c r="G8" s="155">
        <v>1134112.2300000002</v>
      </c>
      <c r="H8" s="155">
        <v>92703.959999999992</v>
      </c>
      <c r="I8" s="154">
        <v>14</v>
      </c>
      <c r="J8" s="155">
        <f t="shared" ref="J8:J37" si="2">SUM(K8:O8)</f>
        <v>52301.89</v>
      </c>
      <c r="K8" s="155">
        <v>352.53000000000003</v>
      </c>
      <c r="L8" s="155">
        <v>0</v>
      </c>
      <c r="M8" s="155">
        <v>111.47</v>
      </c>
      <c r="N8" s="155">
        <v>50387.57</v>
      </c>
      <c r="O8" s="155">
        <v>1450.32</v>
      </c>
      <c r="P8" s="154">
        <v>1073</v>
      </c>
      <c r="Q8" s="155">
        <f t="shared" ref="Q8:Q37" si="3">SUM(R8:V8)</f>
        <v>950179.28999999992</v>
      </c>
      <c r="R8" s="155">
        <v>208288.63999999998</v>
      </c>
      <c r="S8" s="155">
        <v>25253.9</v>
      </c>
      <c r="T8" s="155">
        <v>135213.80999999997</v>
      </c>
      <c r="U8" s="155">
        <v>497684.70999999996</v>
      </c>
      <c r="V8" s="155">
        <v>83738.23000000001</v>
      </c>
      <c r="W8" s="154">
        <f t="shared" ref="W8:X36" si="4">B8+I8+P8</f>
        <v>4754</v>
      </c>
      <c r="X8" s="155">
        <f t="shared" ref="X8:AC8" si="5">C8+J8+Q8</f>
        <v>2501386.09</v>
      </c>
      <c r="Y8" s="155">
        <f t="shared" si="5"/>
        <v>428946.63</v>
      </c>
      <c r="Z8" s="155">
        <f t="shared" si="5"/>
        <v>43911</v>
      </c>
      <c r="AA8" s="155">
        <f t="shared" si="5"/>
        <v>168451.43999999997</v>
      </c>
      <c r="AB8" s="155">
        <f t="shared" si="5"/>
        <v>1682184.5100000002</v>
      </c>
      <c r="AC8" s="155">
        <f t="shared" si="5"/>
        <v>177892.51</v>
      </c>
      <c r="AD8" s="155">
        <f t="shared" ref="AD8:AD37" si="6">W8</f>
        <v>4754</v>
      </c>
      <c r="AE8" s="155">
        <f t="shared" ref="AE8:AE37" si="7">X8</f>
        <v>2501386.09</v>
      </c>
      <c r="AF8" s="155">
        <v>0</v>
      </c>
      <c r="AG8" s="155">
        <v>0</v>
      </c>
      <c r="AH8" s="155">
        <v>0</v>
      </c>
      <c r="AI8" s="155">
        <v>0</v>
      </c>
      <c r="AJ8" s="155">
        <f t="shared" ref="AJ8" si="8">AF8+AH8</f>
        <v>0</v>
      </c>
      <c r="AK8" s="155">
        <f>AG8+AI8</f>
        <v>0</v>
      </c>
      <c r="AL8" s="154">
        <v>0</v>
      </c>
      <c r="AM8" s="154">
        <v>0</v>
      </c>
      <c r="AN8" s="154">
        <v>0</v>
      </c>
      <c r="AO8" s="154">
        <f>AD8+AJ8+AL8</f>
        <v>4754</v>
      </c>
      <c r="AP8" s="154">
        <f t="shared" ref="AP8:AP37" si="9">AE8+AK8+AM8</f>
        <v>2501386.09</v>
      </c>
      <c r="AQ8" s="154">
        <f t="shared" ref="AQ8:AQ18" si="10">AP8/AO8</f>
        <v>526.16451198990319</v>
      </c>
    </row>
    <row r="9" spans="1:46" s="57" customFormat="1" ht="14.25" customHeight="1">
      <c r="A9" s="86" t="s">
        <v>4</v>
      </c>
      <c r="B9" s="154">
        <v>46806</v>
      </c>
      <c r="C9" s="155">
        <f>SUM(D9:H9)</f>
        <v>44949820.689999998</v>
      </c>
      <c r="D9" s="155">
        <v>10828059.839999996</v>
      </c>
      <c r="E9" s="155">
        <v>303533.94</v>
      </c>
      <c r="F9" s="155">
        <v>2943204.1</v>
      </c>
      <c r="G9" s="155">
        <v>15072554.129999999</v>
      </c>
      <c r="H9" s="155">
        <v>15802468.68</v>
      </c>
      <c r="I9" s="154">
        <f>63220-J54</f>
        <v>60255</v>
      </c>
      <c r="J9" s="155">
        <f>SUM(K9:O9)</f>
        <v>103834937.96000002</v>
      </c>
      <c r="K9" s="155">
        <v>10573176.130000001</v>
      </c>
      <c r="L9" s="155">
        <v>18676.099999999995</v>
      </c>
      <c r="M9" s="155">
        <v>1371864.2000000002</v>
      </c>
      <c r="N9" s="155">
        <f>225618285.02-K54</f>
        <v>89524333.020000011</v>
      </c>
      <c r="O9" s="155">
        <v>2346888.5099999998</v>
      </c>
      <c r="P9" s="154">
        <v>28147</v>
      </c>
      <c r="Q9" s="155">
        <f t="shared" si="3"/>
        <v>54674472.519999996</v>
      </c>
      <c r="R9" s="155">
        <v>20778526.379999999</v>
      </c>
      <c r="S9" s="155">
        <v>817152.86</v>
      </c>
      <c r="T9" s="155">
        <v>4373768.6900000004</v>
      </c>
      <c r="U9" s="155">
        <v>13033510.649999997</v>
      </c>
      <c r="V9" s="155">
        <v>15671513.940000001</v>
      </c>
      <c r="W9" s="154">
        <f>B9+I9+P9</f>
        <v>135208</v>
      </c>
      <c r="X9" s="155">
        <f>C9+J9+Q9</f>
        <v>203459231.17000002</v>
      </c>
      <c r="Y9" s="155">
        <f t="shared" ref="Y9:Y23" si="11">D9+K9+R9</f>
        <v>42179762.349999994</v>
      </c>
      <c r="Z9" s="155">
        <f t="shared" ref="Z9:Z23" si="12">E9+L9+S9</f>
        <v>1139362.8999999999</v>
      </c>
      <c r="AA9" s="155">
        <f t="shared" ref="AA9:AA23" si="13">F9+M9+T9</f>
        <v>8688836.9900000021</v>
      </c>
      <c r="AB9" s="155">
        <f t="shared" ref="AB9:AB23" si="14">G9+N9+U9</f>
        <v>117630397.8</v>
      </c>
      <c r="AC9" s="155">
        <f t="shared" ref="AC9:AC23" si="15">H9+O9+V9</f>
        <v>33820871.129999995</v>
      </c>
      <c r="AD9" s="155">
        <f>W9</f>
        <v>135208</v>
      </c>
      <c r="AE9" s="155">
        <f>X9</f>
        <v>203459231.17000002</v>
      </c>
      <c r="AF9" s="155">
        <v>8</v>
      </c>
      <c r="AG9" s="155">
        <v>13393.8</v>
      </c>
      <c r="AH9" s="155">
        <v>0</v>
      </c>
      <c r="AI9" s="155">
        <v>0</v>
      </c>
      <c r="AJ9" s="155">
        <f t="shared" ref="AJ9:AJ37" si="16">AF9+AH9</f>
        <v>8</v>
      </c>
      <c r="AK9" s="155">
        <f t="shared" ref="AK9:AK37" si="17">AG9+AI9</f>
        <v>13393.8</v>
      </c>
      <c r="AL9" s="154">
        <v>0</v>
      </c>
      <c r="AM9" s="154">
        <v>0</v>
      </c>
      <c r="AN9" s="154">
        <v>10114907.640999997</v>
      </c>
      <c r="AO9" s="154">
        <f>AD9+AJ9+AL9</f>
        <v>135216</v>
      </c>
      <c r="AP9" s="154">
        <f>AE9+AK9+AM9</f>
        <v>203472624.97000003</v>
      </c>
      <c r="AQ9" s="154">
        <f t="shared" si="10"/>
        <v>1504.7969542805588</v>
      </c>
    </row>
    <row r="10" spans="1:46">
      <c r="A10" s="86" t="s">
        <v>5</v>
      </c>
      <c r="B10" s="154">
        <v>905</v>
      </c>
      <c r="C10" s="155">
        <f t="shared" si="1"/>
        <v>121747.31</v>
      </c>
      <c r="D10" s="155">
        <v>17091.609999999997</v>
      </c>
      <c r="E10" s="155">
        <v>43274.380000000005</v>
      </c>
      <c r="F10" s="155">
        <v>5673.1399999999994</v>
      </c>
      <c r="G10" s="155">
        <v>48670.28</v>
      </c>
      <c r="H10" s="155">
        <v>7037.9</v>
      </c>
      <c r="I10" s="154">
        <v>0</v>
      </c>
      <c r="J10" s="155">
        <f t="shared" si="2"/>
        <v>0</v>
      </c>
      <c r="K10" s="155">
        <v>0</v>
      </c>
      <c r="L10" s="155">
        <v>0</v>
      </c>
      <c r="M10" s="155">
        <v>0</v>
      </c>
      <c r="N10" s="155">
        <v>0</v>
      </c>
      <c r="O10" s="155">
        <v>0</v>
      </c>
      <c r="P10" s="154">
        <v>57</v>
      </c>
      <c r="Q10" s="155">
        <f t="shared" si="3"/>
        <v>11285.63</v>
      </c>
      <c r="R10" s="155">
        <v>2026.58</v>
      </c>
      <c r="S10" s="155">
        <v>451.28000000000003</v>
      </c>
      <c r="T10" s="155">
        <v>741.09999999999991</v>
      </c>
      <c r="U10" s="155">
        <v>6702.6399999999994</v>
      </c>
      <c r="V10" s="155">
        <v>1364.0300000000002</v>
      </c>
      <c r="W10" s="154">
        <f t="shared" si="4"/>
        <v>962</v>
      </c>
      <c r="X10" s="155">
        <f t="shared" si="4"/>
        <v>133032.94</v>
      </c>
      <c r="Y10" s="155">
        <f t="shared" si="11"/>
        <v>19118.189999999995</v>
      </c>
      <c r="Z10" s="155">
        <f t="shared" si="12"/>
        <v>43725.66</v>
      </c>
      <c r="AA10" s="155">
        <f t="shared" si="13"/>
        <v>6414.24</v>
      </c>
      <c r="AB10" s="155">
        <f t="shared" si="14"/>
        <v>55372.92</v>
      </c>
      <c r="AC10" s="155">
        <f t="shared" si="15"/>
        <v>8401.93</v>
      </c>
      <c r="AD10" s="155">
        <f t="shared" si="6"/>
        <v>962</v>
      </c>
      <c r="AE10" s="155">
        <f t="shared" si="7"/>
        <v>133032.94</v>
      </c>
      <c r="AF10" s="155">
        <v>0</v>
      </c>
      <c r="AG10" s="155">
        <v>0</v>
      </c>
      <c r="AH10" s="155">
        <v>0</v>
      </c>
      <c r="AI10" s="155">
        <v>0</v>
      </c>
      <c r="AJ10" s="155">
        <f t="shared" si="16"/>
        <v>0</v>
      </c>
      <c r="AK10" s="155">
        <f t="shared" si="17"/>
        <v>0</v>
      </c>
      <c r="AL10" s="154">
        <v>0</v>
      </c>
      <c r="AM10" s="154">
        <v>0</v>
      </c>
      <c r="AN10" s="154">
        <v>0</v>
      </c>
      <c r="AO10" s="154">
        <f t="shared" ref="AO10:AO37" si="18">AD10+AJ10+AL10</f>
        <v>962</v>
      </c>
      <c r="AP10" s="154">
        <f t="shared" si="9"/>
        <v>133032.94</v>
      </c>
      <c r="AQ10" s="154">
        <f t="shared" si="10"/>
        <v>138.28787941787942</v>
      </c>
    </row>
    <row r="11" spans="1:46">
      <c r="A11" s="86" t="s">
        <v>6</v>
      </c>
      <c r="B11" s="154">
        <v>259</v>
      </c>
      <c r="C11" s="155">
        <f>SUM(D11:H11)</f>
        <v>58360.17</v>
      </c>
      <c r="D11" s="155">
        <v>11699.9</v>
      </c>
      <c r="E11" s="155">
        <v>701.97</v>
      </c>
      <c r="F11" s="155">
        <v>1989.49</v>
      </c>
      <c r="G11" s="155">
        <v>39771.42</v>
      </c>
      <c r="H11" s="155">
        <v>4197.3899999999994</v>
      </c>
      <c r="I11" s="154">
        <v>5</v>
      </c>
      <c r="J11" s="155">
        <f t="shared" si="2"/>
        <v>6976.6</v>
      </c>
      <c r="K11" s="155">
        <v>0</v>
      </c>
      <c r="L11" s="155">
        <v>0</v>
      </c>
      <c r="M11" s="155">
        <v>0</v>
      </c>
      <c r="N11" s="155">
        <v>1500</v>
      </c>
      <c r="O11" s="155">
        <v>5476.6</v>
      </c>
      <c r="P11" s="154">
        <v>18</v>
      </c>
      <c r="Q11" s="155">
        <f t="shared" si="3"/>
        <v>10263.15</v>
      </c>
      <c r="R11" s="155">
        <v>2356.3200000000002</v>
      </c>
      <c r="S11" s="155">
        <v>550.76</v>
      </c>
      <c r="T11" s="155">
        <v>5063.1699999999992</v>
      </c>
      <c r="U11" s="155">
        <v>292</v>
      </c>
      <c r="V11" s="155">
        <v>2000.9</v>
      </c>
      <c r="W11" s="154">
        <f t="shared" si="4"/>
        <v>282</v>
      </c>
      <c r="X11" s="155">
        <f t="shared" si="4"/>
        <v>75599.92</v>
      </c>
      <c r="Y11" s="155">
        <f t="shared" si="11"/>
        <v>14056.22</v>
      </c>
      <c r="Z11" s="155">
        <f t="shared" si="12"/>
        <v>1252.73</v>
      </c>
      <c r="AA11" s="155">
        <f t="shared" si="13"/>
        <v>7052.6599999999989</v>
      </c>
      <c r="AB11" s="155">
        <f t="shared" si="14"/>
        <v>41563.42</v>
      </c>
      <c r="AC11" s="155">
        <f t="shared" si="15"/>
        <v>11674.89</v>
      </c>
      <c r="AD11" s="155">
        <f t="shared" si="6"/>
        <v>282</v>
      </c>
      <c r="AE11" s="155">
        <f t="shared" si="7"/>
        <v>75599.92</v>
      </c>
      <c r="AF11" s="155">
        <v>0</v>
      </c>
      <c r="AG11" s="155">
        <v>0</v>
      </c>
      <c r="AH11" s="155">
        <v>9</v>
      </c>
      <c r="AI11" s="155">
        <v>5227.72</v>
      </c>
      <c r="AJ11" s="155">
        <f t="shared" si="16"/>
        <v>9</v>
      </c>
      <c r="AK11" s="155">
        <f t="shared" si="17"/>
        <v>5227.72</v>
      </c>
      <c r="AL11" s="154">
        <v>0</v>
      </c>
      <c r="AM11" s="154">
        <v>0</v>
      </c>
      <c r="AN11" s="154">
        <v>0</v>
      </c>
      <c r="AO11" s="154">
        <f t="shared" si="18"/>
        <v>291</v>
      </c>
      <c r="AP11" s="154">
        <f t="shared" si="9"/>
        <v>80827.64</v>
      </c>
      <c r="AQ11" s="154">
        <f t="shared" si="10"/>
        <v>277.75821305841924</v>
      </c>
    </row>
    <row r="12" spans="1:46" s="57" customFormat="1">
      <c r="A12" s="86" t="s">
        <v>32</v>
      </c>
      <c r="B12" s="154">
        <v>1575</v>
      </c>
      <c r="C12" s="155">
        <f t="shared" si="1"/>
        <v>173433.11999999997</v>
      </c>
      <c r="D12" s="155">
        <v>54486.859999999986</v>
      </c>
      <c r="E12" s="155">
        <v>20989.21</v>
      </c>
      <c r="F12" s="155">
        <v>9768.6499999999978</v>
      </c>
      <c r="G12" s="155">
        <v>78272.22</v>
      </c>
      <c r="H12" s="155">
        <v>9916.18</v>
      </c>
      <c r="I12" s="154">
        <v>4</v>
      </c>
      <c r="J12" s="155">
        <f t="shared" si="2"/>
        <v>5024.5300000000007</v>
      </c>
      <c r="K12" s="155">
        <v>0</v>
      </c>
      <c r="L12" s="155">
        <v>2524.5300000000002</v>
      </c>
      <c r="M12" s="155">
        <v>0</v>
      </c>
      <c r="N12" s="155">
        <v>2500</v>
      </c>
      <c r="O12" s="155">
        <v>0</v>
      </c>
      <c r="P12" s="154">
        <v>353</v>
      </c>
      <c r="Q12" s="155">
        <f t="shared" si="3"/>
        <v>149137.63</v>
      </c>
      <c r="R12" s="155">
        <v>46652.229999999996</v>
      </c>
      <c r="S12" s="155">
        <v>2267.9499999999998</v>
      </c>
      <c r="T12" s="155">
        <v>40718.67</v>
      </c>
      <c r="U12" s="155">
        <v>50464.09</v>
      </c>
      <c r="V12" s="155">
        <v>9034.69</v>
      </c>
      <c r="W12" s="154">
        <f t="shared" ref="W12:AC12" si="19">B12+I12+P12</f>
        <v>1932</v>
      </c>
      <c r="X12" s="155">
        <f t="shared" si="19"/>
        <v>327595.27999999997</v>
      </c>
      <c r="Y12" s="155">
        <f t="shared" si="19"/>
        <v>101139.08999999998</v>
      </c>
      <c r="Z12" s="155">
        <f t="shared" si="19"/>
        <v>25781.69</v>
      </c>
      <c r="AA12" s="155">
        <f t="shared" si="19"/>
        <v>50487.319999999992</v>
      </c>
      <c r="AB12" s="155">
        <f t="shared" si="19"/>
        <v>131236.31</v>
      </c>
      <c r="AC12" s="155">
        <f t="shared" si="19"/>
        <v>18950.870000000003</v>
      </c>
      <c r="AD12" s="155">
        <f t="shared" si="6"/>
        <v>1932</v>
      </c>
      <c r="AE12" s="155">
        <f t="shared" si="7"/>
        <v>327595.27999999997</v>
      </c>
      <c r="AF12" s="155">
        <v>0</v>
      </c>
      <c r="AG12" s="155">
        <v>0</v>
      </c>
      <c r="AH12" s="155">
        <v>0</v>
      </c>
      <c r="AI12" s="155">
        <v>0</v>
      </c>
      <c r="AJ12" s="155">
        <f t="shared" si="16"/>
        <v>0</v>
      </c>
      <c r="AK12" s="155">
        <f t="shared" si="17"/>
        <v>0</v>
      </c>
      <c r="AL12" s="154">
        <v>0</v>
      </c>
      <c r="AM12" s="154">
        <v>0</v>
      </c>
      <c r="AN12" s="154">
        <v>0</v>
      </c>
      <c r="AO12" s="154">
        <f t="shared" si="18"/>
        <v>1932</v>
      </c>
      <c r="AP12" s="154">
        <f t="shared" si="9"/>
        <v>327595.27999999997</v>
      </c>
      <c r="AQ12" s="154">
        <f t="shared" si="10"/>
        <v>169.56277432712213</v>
      </c>
    </row>
    <row r="13" spans="1:46">
      <c r="A13" s="86" t="s">
        <v>44</v>
      </c>
      <c r="B13" s="154">
        <v>419</v>
      </c>
      <c r="C13" s="155">
        <f t="shared" si="1"/>
        <v>162015.93</v>
      </c>
      <c r="D13" s="155">
        <v>8092.1200000000008</v>
      </c>
      <c r="E13" s="155">
        <v>871.88</v>
      </c>
      <c r="F13" s="155">
        <v>1153.46</v>
      </c>
      <c r="G13" s="155">
        <v>88854.31</v>
      </c>
      <c r="H13" s="155">
        <v>63044.159999999996</v>
      </c>
      <c r="I13" s="154">
        <v>13</v>
      </c>
      <c r="J13" s="155">
        <f t="shared" si="2"/>
        <v>47263.11</v>
      </c>
      <c r="K13" s="155">
        <v>0</v>
      </c>
      <c r="L13" s="155">
        <v>0</v>
      </c>
      <c r="M13" s="155">
        <v>0</v>
      </c>
      <c r="N13" s="155">
        <v>38068.519999999997</v>
      </c>
      <c r="O13" s="155">
        <v>9194.59</v>
      </c>
      <c r="P13" s="154">
        <v>25</v>
      </c>
      <c r="Q13" s="155">
        <f t="shared" si="3"/>
        <v>8154.75</v>
      </c>
      <c r="R13" s="155">
        <v>575.45000000000005</v>
      </c>
      <c r="S13" s="155">
        <v>461.83000000000004</v>
      </c>
      <c r="T13" s="155">
        <v>22.41</v>
      </c>
      <c r="U13" s="155">
        <v>6360.11</v>
      </c>
      <c r="V13" s="155">
        <v>734.95</v>
      </c>
      <c r="W13" s="154">
        <f t="shared" si="4"/>
        <v>457</v>
      </c>
      <c r="X13" s="155">
        <f t="shared" si="4"/>
        <v>217433.78999999998</v>
      </c>
      <c r="Y13" s="155">
        <f t="shared" si="11"/>
        <v>8667.5700000000015</v>
      </c>
      <c r="Z13" s="155">
        <f t="shared" si="12"/>
        <v>1333.71</v>
      </c>
      <c r="AA13" s="155">
        <f t="shared" si="13"/>
        <v>1175.8700000000001</v>
      </c>
      <c r="AB13" s="155">
        <f t="shared" si="14"/>
        <v>133282.93999999997</v>
      </c>
      <c r="AC13" s="155">
        <f t="shared" si="15"/>
        <v>72973.7</v>
      </c>
      <c r="AD13" s="155">
        <f t="shared" si="6"/>
        <v>457</v>
      </c>
      <c r="AE13" s="155">
        <f t="shared" si="7"/>
        <v>217433.78999999998</v>
      </c>
      <c r="AF13" s="155">
        <v>0</v>
      </c>
      <c r="AG13" s="155">
        <v>0</v>
      </c>
      <c r="AH13" s="155">
        <v>0</v>
      </c>
      <c r="AI13" s="155">
        <v>0</v>
      </c>
      <c r="AJ13" s="155">
        <f t="shared" si="16"/>
        <v>0</v>
      </c>
      <c r="AK13" s="155">
        <f t="shared" si="17"/>
        <v>0</v>
      </c>
      <c r="AL13" s="154">
        <v>0</v>
      </c>
      <c r="AM13" s="154">
        <v>0</v>
      </c>
      <c r="AN13" s="154">
        <v>0</v>
      </c>
      <c r="AO13" s="154">
        <f t="shared" si="18"/>
        <v>457</v>
      </c>
      <c r="AP13" s="154">
        <f t="shared" si="9"/>
        <v>217433.78999999998</v>
      </c>
      <c r="AQ13" s="154">
        <f t="shared" si="10"/>
        <v>475.78509846827131</v>
      </c>
    </row>
    <row r="14" spans="1:46">
      <c r="A14" s="86" t="s">
        <v>7</v>
      </c>
      <c r="B14" s="154">
        <v>64397</v>
      </c>
      <c r="C14" s="155">
        <f t="shared" si="1"/>
        <v>15666650.6</v>
      </c>
      <c r="D14" s="155">
        <v>5785744.9099999992</v>
      </c>
      <c r="E14" s="155">
        <v>694720.62</v>
      </c>
      <c r="F14" s="155">
        <v>854228.23</v>
      </c>
      <c r="G14" s="155">
        <v>7265696.2600000007</v>
      </c>
      <c r="H14" s="155">
        <v>1066260.58</v>
      </c>
      <c r="I14" s="154">
        <v>10476</v>
      </c>
      <c r="J14" s="155">
        <f t="shared" si="2"/>
        <v>9537429.3000000007</v>
      </c>
      <c r="K14" s="155">
        <v>62966.11</v>
      </c>
      <c r="L14" s="155">
        <v>13540.21</v>
      </c>
      <c r="M14" s="155">
        <v>8719.66</v>
      </c>
      <c r="N14" s="155">
        <v>8114945.2999999998</v>
      </c>
      <c r="O14" s="155">
        <v>1337258.02</v>
      </c>
      <c r="P14" s="154">
        <v>1673</v>
      </c>
      <c r="Q14" s="155">
        <f t="shared" si="3"/>
        <v>819142.96000000008</v>
      </c>
      <c r="R14" s="155">
        <v>161808.45000000001</v>
      </c>
      <c r="S14" s="155">
        <v>24416.03</v>
      </c>
      <c r="T14" s="155">
        <v>40118.999999999993</v>
      </c>
      <c r="U14" s="155">
        <v>497570.2</v>
      </c>
      <c r="V14" s="155">
        <v>95229.28</v>
      </c>
      <c r="W14" s="154">
        <f t="shared" si="4"/>
        <v>76546</v>
      </c>
      <c r="X14" s="155">
        <f t="shared" si="4"/>
        <v>26023222.859999999</v>
      </c>
      <c r="Y14" s="155">
        <f t="shared" si="11"/>
        <v>6010519.4699999997</v>
      </c>
      <c r="Z14" s="155">
        <f t="shared" si="12"/>
        <v>732676.86</v>
      </c>
      <c r="AA14" s="155">
        <f t="shared" si="13"/>
        <v>903066.89</v>
      </c>
      <c r="AB14" s="155">
        <f t="shared" si="14"/>
        <v>15878211.76</v>
      </c>
      <c r="AC14" s="155">
        <f t="shared" si="15"/>
        <v>2498747.88</v>
      </c>
      <c r="AD14" s="155">
        <f t="shared" si="6"/>
        <v>76546</v>
      </c>
      <c r="AE14" s="155">
        <f t="shared" si="7"/>
        <v>26023222.859999999</v>
      </c>
      <c r="AF14" s="155">
        <v>7</v>
      </c>
      <c r="AG14" s="155">
        <v>2025.1200000000001</v>
      </c>
      <c r="AH14" s="155">
        <v>0</v>
      </c>
      <c r="AI14" s="155">
        <v>0</v>
      </c>
      <c r="AJ14" s="155">
        <f t="shared" si="16"/>
        <v>7</v>
      </c>
      <c r="AK14" s="155">
        <f t="shared" si="17"/>
        <v>2025.1200000000001</v>
      </c>
      <c r="AL14" s="154">
        <v>425</v>
      </c>
      <c r="AM14" s="154">
        <v>181104.63</v>
      </c>
      <c r="AN14" s="154">
        <v>0</v>
      </c>
      <c r="AO14" s="154">
        <f t="shared" si="18"/>
        <v>76978</v>
      </c>
      <c r="AP14" s="154">
        <f t="shared" si="9"/>
        <v>26206352.609999999</v>
      </c>
      <c r="AQ14" s="154">
        <f t="shared" si="10"/>
        <v>340.43951011977447</v>
      </c>
      <c r="AT14" s="54"/>
    </row>
    <row r="15" spans="1:46">
      <c r="A15" s="191" t="s">
        <v>8</v>
      </c>
      <c r="B15" s="154">
        <v>125</v>
      </c>
      <c r="C15" s="155">
        <f t="shared" si="1"/>
        <v>13708.419999999998</v>
      </c>
      <c r="D15" s="155">
        <v>4059.87</v>
      </c>
      <c r="E15" s="155">
        <v>1020.24</v>
      </c>
      <c r="F15" s="155">
        <v>1136.3699999999999</v>
      </c>
      <c r="G15" s="155">
        <v>6905.44</v>
      </c>
      <c r="H15" s="155">
        <v>586.5</v>
      </c>
      <c r="I15" s="154">
        <v>18</v>
      </c>
      <c r="J15" s="155">
        <f t="shared" si="2"/>
        <v>2040.8500000000004</v>
      </c>
      <c r="K15" s="155">
        <v>385.73</v>
      </c>
      <c r="L15" s="155">
        <v>0</v>
      </c>
      <c r="M15" s="155">
        <v>191.18</v>
      </c>
      <c r="N15" s="155">
        <v>455.1</v>
      </c>
      <c r="O15" s="155">
        <v>1008.84</v>
      </c>
      <c r="P15" s="154">
        <v>5</v>
      </c>
      <c r="Q15" s="155">
        <f t="shared" si="3"/>
        <v>2002.69</v>
      </c>
      <c r="R15" s="155">
        <v>507.91</v>
      </c>
      <c r="S15" s="155">
        <v>0</v>
      </c>
      <c r="T15" s="155">
        <v>107.26</v>
      </c>
      <c r="U15" s="155">
        <v>1362.94</v>
      </c>
      <c r="V15" s="155">
        <v>24.58</v>
      </c>
      <c r="W15" s="154">
        <f t="shared" si="4"/>
        <v>148</v>
      </c>
      <c r="X15" s="155">
        <f t="shared" si="4"/>
        <v>17751.96</v>
      </c>
      <c r="Y15" s="155">
        <f t="shared" si="11"/>
        <v>4953.51</v>
      </c>
      <c r="Z15" s="155">
        <f t="shared" si="12"/>
        <v>1020.24</v>
      </c>
      <c r="AA15" s="155">
        <f t="shared" si="13"/>
        <v>1434.81</v>
      </c>
      <c r="AB15" s="155">
        <f t="shared" si="14"/>
        <v>8723.48</v>
      </c>
      <c r="AC15" s="155">
        <f t="shared" si="15"/>
        <v>1619.92</v>
      </c>
      <c r="AD15" s="155">
        <f t="shared" si="6"/>
        <v>148</v>
      </c>
      <c r="AE15" s="155">
        <f t="shared" si="7"/>
        <v>17751.96</v>
      </c>
      <c r="AF15" s="155">
        <v>0</v>
      </c>
      <c r="AG15" s="155">
        <v>0</v>
      </c>
      <c r="AH15" s="155">
        <v>0</v>
      </c>
      <c r="AI15" s="155">
        <v>0</v>
      </c>
      <c r="AJ15" s="155">
        <f t="shared" si="16"/>
        <v>0</v>
      </c>
      <c r="AK15" s="155">
        <f t="shared" si="17"/>
        <v>0</v>
      </c>
      <c r="AL15" s="154">
        <v>0</v>
      </c>
      <c r="AM15" s="154">
        <v>0</v>
      </c>
      <c r="AN15" s="154">
        <v>0</v>
      </c>
      <c r="AO15" s="154">
        <f t="shared" si="18"/>
        <v>148</v>
      </c>
      <c r="AP15" s="154">
        <f t="shared" si="9"/>
        <v>17751.96</v>
      </c>
      <c r="AQ15" s="154">
        <f t="shared" si="10"/>
        <v>119.94567567567567</v>
      </c>
    </row>
    <row r="16" spans="1:46">
      <c r="A16" s="86" t="s">
        <v>9</v>
      </c>
      <c r="B16" s="154">
        <v>654</v>
      </c>
      <c r="C16" s="155">
        <f t="shared" si="1"/>
        <v>260406.56000000003</v>
      </c>
      <c r="D16" s="155">
        <v>110644.62</v>
      </c>
      <c r="E16" s="155">
        <v>3327.32</v>
      </c>
      <c r="F16" s="155">
        <v>3706.2200000000003</v>
      </c>
      <c r="G16" s="155">
        <v>137674.62000000002</v>
      </c>
      <c r="H16" s="155">
        <v>5053.78</v>
      </c>
      <c r="I16" s="154">
        <v>0</v>
      </c>
      <c r="J16" s="155">
        <f t="shared" si="2"/>
        <v>0</v>
      </c>
      <c r="K16" s="155">
        <v>0</v>
      </c>
      <c r="L16" s="155">
        <v>0</v>
      </c>
      <c r="M16" s="155">
        <v>0</v>
      </c>
      <c r="N16" s="155">
        <v>0</v>
      </c>
      <c r="O16" s="155">
        <v>0</v>
      </c>
      <c r="P16" s="154">
        <v>67</v>
      </c>
      <c r="Q16" s="155">
        <f t="shared" si="3"/>
        <v>4939.0600000000004</v>
      </c>
      <c r="R16" s="155">
        <v>2473.91</v>
      </c>
      <c r="S16" s="155">
        <v>772.5</v>
      </c>
      <c r="T16" s="155">
        <v>932.27</v>
      </c>
      <c r="U16" s="155">
        <v>0</v>
      </c>
      <c r="V16" s="155">
        <v>760.38</v>
      </c>
      <c r="W16" s="154">
        <f t="shared" si="4"/>
        <v>721</v>
      </c>
      <c r="X16" s="155">
        <f t="shared" si="4"/>
        <v>265345.62000000005</v>
      </c>
      <c r="Y16" s="155">
        <f t="shared" si="11"/>
        <v>113118.53</v>
      </c>
      <c r="Z16" s="155">
        <f t="shared" si="12"/>
        <v>4099.82</v>
      </c>
      <c r="AA16" s="155">
        <f t="shared" si="13"/>
        <v>4638.49</v>
      </c>
      <c r="AB16" s="155">
        <f t="shared" si="14"/>
        <v>137674.62000000002</v>
      </c>
      <c r="AC16" s="155">
        <f t="shared" si="15"/>
        <v>5814.16</v>
      </c>
      <c r="AD16" s="155">
        <f t="shared" si="6"/>
        <v>721</v>
      </c>
      <c r="AE16" s="155">
        <f t="shared" si="7"/>
        <v>265345.62000000005</v>
      </c>
      <c r="AF16" s="155">
        <v>0</v>
      </c>
      <c r="AG16" s="155">
        <v>0</v>
      </c>
      <c r="AH16" s="155">
        <v>21</v>
      </c>
      <c r="AI16" s="155">
        <v>62429.96</v>
      </c>
      <c r="AJ16" s="155">
        <f t="shared" si="16"/>
        <v>21</v>
      </c>
      <c r="AK16" s="155">
        <f t="shared" si="17"/>
        <v>62429.96</v>
      </c>
      <c r="AL16" s="154">
        <v>0</v>
      </c>
      <c r="AM16" s="154">
        <v>0</v>
      </c>
      <c r="AN16" s="154">
        <v>0</v>
      </c>
      <c r="AO16" s="154">
        <f t="shared" si="18"/>
        <v>742</v>
      </c>
      <c r="AP16" s="154">
        <f t="shared" si="9"/>
        <v>327775.58000000007</v>
      </c>
      <c r="AQ16" s="154">
        <f t="shared" si="10"/>
        <v>441.74606469002703</v>
      </c>
    </row>
    <row r="17" spans="1:43">
      <c r="A17" s="86" t="s">
        <v>10</v>
      </c>
      <c r="B17" s="154">
        <v>5482</v>
      </c>
      <c r="C17" s="155">
        <f t="shared" si="1"/>
        <v>887020.55</v>
      </c>
      <c r="D17" s="155">
        <v>132830.32</v>
      </c>
      <c r="E17" s="155">
        <v>21080.240000000002</v>
      </c>
      <c r="F17" s="155">
        <v>47788.29</v>
      </c>
      <c r="G17" s="155">
        <v>633609.52</v>
      </c>
      <c r="H17" s="155">
        <v>51712.18</v>
      </c>
      <c r="I17" s="154">
        <v>42</v>
      </c>
      <c r="J17" s="155">
        <f t="shared" si="2"/>
        <v>54612.729999999996</v>
      </c>
      <c r="K17" s="155">
        <v>164.5</v>
      </c>
      <c r="L17" s="155">
        <v>0</v>
      </c>
      <c r="M17" s="155">
        <v>0</v>
      </c>
      <c r="N17" s="155">
        <v>24073.46</v>
      </c>
      <c r="O17" s="155">
        <v>30374.77</v>
      </c>
      <c r="P17" s="154">
        <v>337</v>
      </c>
      <c r="Q17" s="155">
        <f t="shared" si="3"/>
        <v>150243.52000000002</v>
      </c>
      <c r="R17" s="155">
        <v>26846.240000000002</v>
      </c>
      <c r="S17" s="155">
        <v>3623.15</v>
      </c>
      <c r="T17" s="155">
        <v>44171.54</v>
      </c>
      <c r="U17" s="155">
        <v>57623.840000000004</v>
      </c>
      <c r="V17" s="155">
        <v>17978.75</v>
      </c>
      <c r="W17" s="154">
        <f t="shared" si="4"/>
        <v>5861</v>
      </c>
      <c r="X17" s="155">
        <f t="shared" si="4"/>
        <v>1091876.8</v>
      </c>
      <c r="Y17" s="155">
        <f t="shared" si="11"/>
        <v>159841.06</v>
      </c>
      <c r="Z17" s="155">
        <f t="shared" si="12"/>
        <v>24703.390000000003</v>
      </c>
      <c r="AA17" s="155">
        <f t="shared" si="13"/>
        <v>91959.83</v>
      </c>
      <c r="AB17" s="155">
        <f t="shared" si="14"/>
        <v>715306.82</v>
      </c>
      <c r="AC17" s="155">
        <f t="shared" si="15"/>
        <v>100065.7</v>
      </c>
      <c r="AD17" s="155">
        <f t="shared" si="6"/>
        <v>5861</v>
      </c>
      <c r="AE17" s="155">
        <f t="shared" si="7"/>
        <v>1091876.8</v>
      </c>
      <c r="AF17" s="155">
        <v>0</v>
      </c>
      <c r="AG17" s="155">
        <v>0</v>
      </c>
      <c r="AH17" s="155">
        <v>250</v>
      </c>
      <c r="AI17" s="155">
        <v>279535.90000000002</v>
      </c>
      <c r="AJ17" s="155">
        <f t="shared" si="16"/>
        <v>250</v>
      </c>
      <c r="AK17" s="155">
        <f t="shared" si="17"/>
        <v>279535.90000000002</v>
      </c>
      <c r="AL17" s="154">
        <v>0</v>
      </c>
      <c r="AM17" s="154">
        <v>0</v>
      </c>
      <c r="AN17" s="154">
        <v>0</v>
      </c>
      <c r="AO17" s="154">
        <f t="shared" si="18"/>
        <v>6111</v>
      </c>
      <c r="AP17" s="154">
        <f t="shared" si="9"/>
        <v>1371412.7000000002</v>
      </c>
      <c r="AQ17" s="154">
        <f t="shared" si="10"/>
        <v>224.41706758304699</v>
      </c>
    </row>
    <row r="18" spans="1:43">
      <c r="A18" s="86" t="s">
        <v>11</v>
      </c>
      <c r="B18" s="154">
        <v>4207</v>
      </c>
      <c r="C18" s="155">
        <f t="shared" si="1"/>
        <v>1251375.6799999997</v>
      </c>
      <c r="D18" s="155">
        <v>19438.39</v>
      </c>
      <c r="E18" s="155">
        <v>1129187.2</v>
      </c>
      <c r="F18" s="155">
        <v>4802.68</v>
      </c>
      <c r="G18" s="155">
        <v>22762.03</v>
      </c>
      <c r="H18" s="155">
        <v>75185.38</v>
      </c>
      <c r="I18" s="154">
        <v>40</v>
      </c>
      <c r="J18" s="155">
        <f t="shared" si="2"/>
        <v>13927.19</v>
      </c>
      <c r="K18" s="155">
        <v>674.16</v>
      </c>
      <c r="L18" s="155">
        <v>12291.82</v>
      </c>
      <c r="M18" s="155">
        <v>24.94</v>
      </c>
      <c r="N18" s="155">
        <v>0</v>
      </c>
      <c r="O18" s="155">
        <v>936.27</v>
      </c>
      <c r="P18" s="154">
        <v>447</v>
      </c>
      <c r="Q18" s="155">
        <f t="shared" si="3"/>
        <v>65439.45</v>
      </c>
      <c r="R18" s="155">
        <v>13736.2</v>
      </c>
      <c r="S18" s="155">
        <v>4204.3</v>
      </c>
      <c r="T18" s="155">
        <v>12198.42</v>
      </c>
      <c r="U18" s="155">
        <v>20494.04</v>
      </c>
      <c r="V18" s="155">
        <v>14806.489999999998</v>
      </c>
      <c r="W18" s="154">
        <f t="shared" si="4"/>
        <v>4694</v>
      </c>
      <c r="X18" s="155">
        <f t="shared" si="4"/>
        <v>1330742.3199999996</v>
      </c>
      <c r="Y18" s="155">
        <f t="shared" si="11"/>
        <v>33848.75</v>
      </c>
      <c r="Z18" s="155">
        <f t="shared" si="12"/>
        <v>1145683.32</v>
      </c>
      <c r="AA18" s="155">
        <f t="shared" si="13"/>
        <v>17026.04</v>
      </c>
      <c r="AB18" s="155">
        <f t="shared" si="14"/>
        <v>43256.07</v>
      </c>
      <c r="AC18" s="155">
        <f t="shared" si="15"/>
        <v>90928.140000000014</v>
      </c>
      <c r="AD18" s="155">
        <f t="shared" si="6"/>
        <v>4694</v>
      </c>
      <c r="AE18" s="155">
        <f t="shared" si="7"/>
        <v>1330742.3199999996</v>
      </c>
      <c r="AF18" s="155">
        <v>0</v>
      </c>
      <c r="AG18" s="155">
        <v>0</v>
      </c>
      <c r="AH18" s="155">
        <v>3</v>
      </c>
      <c r="AI18" s="155">
        <v>1542.2099926618</v>
      </c>
      <c r="AJ18" s="155">
        <f t="shared" si="16"/>
        <v>3</v>
      </c>
      <c r="AK18" s="155">
        <f t="shared" si="17"/>
        <v>1542.2099926618</v>
      </c>
      <c r="AL18" s="154">
        <v>0</v>
      </c>
      <c r="AM18" s="154">
        <v>0</v>
      </c>
      <c r="AN18" s="154">
        <v>0</v>
      </c>
      <c r="AO18" s="154">
        <f t="shared" si="18"/>
        <v>4697</v>
      </c>
      <c r="AP18" s="154">
        <f t="shared" si="9"/>
        <v>1332284.5299926614</v>
      </c>
      <c r="AQ18" s="154">
        <f t="shared" si="10"/>
        <v>283.64584415428175</v>
      </c>
    </row>
    <row r="19" spans="1:43">
      <c r="A19" s="86" t="s">
        <v>45</v>
      </c>
      <c r="B19" s="154">
        <v>735</v>
      </c>
      <c r="C19" s="155">
        <f t="shared" si="1"/>
        <v>37453.46</v>
      </c>
      <c r="D19" s="155">
        <v>13281.949999999999</v>
      </c>
      <c r="E19" s="155">
        <v>2144.85</v>
      </c>
      <c r="F19" s="155">
        <v>7981.21</v>
      </c>
      <c r="G19" s="155">
        <v>8418.11</v>
      </c>
      <c r="H19" s="155">
        <v>5627.34</v>
      </c>
      <c r="I19" s="154">
        <v>2</v>
      </c>
      <c r="J19" s="155">
        <f t="shared" si="2"/>
        <v>36.299999999999997</v>
      </c>
      <c r="K19" s="155">
        <v>36.299999999999997</v>
      </c>
      <c r="L19" s="155">
        <v>0</v>
      </c>
      <c r="M19" s="155">
        <v>0</v>
      </c>
      <c r="N19" s="155">
        <v>0</v>
      </c>
      <c r="O19" s="155">
        <v>0</v>
      </c>
      <c r="P19" s="154">
        <v>60</v>
      </c>
      <c r="Q19" s="155">
        <f t="shared" si="3"/>
        <v>6978.1900000000005</v>
      </c>
      <c r="R19" s="155">
        <v>1980.6299999999999</v>
      </c>
      <c r="S19" s="155">
        <v>555.33000000000004</v>
      </c>
      <c r="T19" s="155">
        <v>1383.97</v>
      </c>
      <c r="U19" s="155">
        <v>1120.24</v>
      </c>
      <c r="V19" s="155">
        <v>1938.02</v>
      </c>
      <c r="W19" s="154">
        <f t="shared" si="4"/>
        <v>797</v>
      </c>
      <c r="X19" s="155">
        <f t="shared" si="4"/>
        <v>44467.950000000004</v>
      </c>
      <c r="Y19" s="155">
        <f t="shared" si="11"/>
        <v>15298.879999999997</v>
      </c>
      <c r="Z19" s="155">
        <f t="shared" si="12"/>
        <v>2700.18</v>
      </c>
      <c r="AA19" s="155">
        <f t="shared" si="13"/>
        <v>9365.18</v>
      </c>
      <c r="AB19" s="155">
        <f t="shared" si="14"/>
        <v>9538.35</v>
      </c>
      <c r="AC19" s="155">
        <f t="shared" si="15"/>
        <v>7565.3600000000006</v>
      </c>
      <c r="AD19" s="155">
        <f t="shared" si="6"/>
        <v>797</v>
      </c>
      <c r="AE19" s="155">
        <f t="shared" si="7"/>
        <v>44467.950000000004</v>
      </c>
      <c r="AF19" s="155">
        <v>0</v>
      </c>
      <c r="AG19" s="155">
        <v>0</v>
      </c>
      <c r="AH19" s="155">
        <v>5</v>
      </c>
      <c r="AI19" s="155">
        <v>25816.71</v>
      </c>
      <c r="AJ19" s="155">
        <f t="shared" si="16"/>
        <v>5</v>
      </c>
      <c r="AK19" s="155">
        <f t="shared" si="17"/>
        <v>25816.71</v>
      </c>
      <c r="AL19" s="154">
        <v>0</v>
      </c>
      <c r="AM19" s="154">
        <v>0</v>
      </c>
      <c r="AN19" s="154">
        <v>0</v>
      </c>
      <c r="AO19" s="154">
        <f t="shared" si="18"/>
        <v>802</v>
      </c>
      <c r="AP19" s="154">
        <f t="shared" si="9"/>
        <v>70284.66</v>
      </c>
      <c r="AQ19" s="154">
        <f>AP19/AO19</f>
        <v>87.636733167082298</v>
      </c>
    </row>
    <row r="20" spans="1:43">
      <c r="A20" s="86" t="s">
        <v>12</v>
      </c>
      <c r="B20" s="154">
        <v>361</v>
      </c>
      <c r="C20" s="155">
        <f t="shared" si="1"/>
        <v>407080.49</v>
      </c>
      <c r="D20" s="155">
        <v>44706.39</v>
      </c>
      <c r="E20" s="155">
        <v>190.44</v>
      </c>
      <c r="F20" s="155">
        <v>1857.5700000000002</v>
      </c>
      <c r="G20" s="155">
        <v>227588.65</v>
      </c>
      <c r="H20" s="155">
        <v>132737.44</v>
      </c>
      <c r="I20" s="154">
        <v>0</v>
      </c>
      <c r="J20" s="155">
        <f t="shared" si="2"/>
        <v>0</v>
      </c>
      <c r="K20" s="155">
        <v>0</v>
      </c>
      <c r="L20" s="155">
        <v>0</v>
      </c>
      <c r="M20" s="155">
        <v>0</v>
      </c>
      <c r="N20" s="155">
        <v>0</v>
      </c>
      <c r="O20" s="155">
        <v>0</v>
      </c>
      <c r="P20" s="154">
        <v>3</v>
      </c>
      <c r="Q20" s="155">
        <f t="shared" si="3"/>
        <v>332.83</v>
      </c>
      <c r="R20" s="155">
        <v>162.38</v>
      </c>
      <c r="S20" s="155">
        <v>146.04</v>
      </c>
      <c r="T20" s="155">
        <v>24.41</v>
      </c>
      <c r="U20" s="155">
        <v>0</v>
      </c>
      <c r="V20" s="155">
        <v>0</v>
      </c>
      <c r="W20" s="154">
        <f t="shared" si="4"/>
        <v>364</v>
      </c>
      <c r="X20" s="155">
        <f t="shared" si="4"/>
        <v>407413.32</v>
      </c>
      <c r="Y20" s="155">
        <f t="shared" si="11"/>
        <v>44868.77</v>
      </c>
      <c r="Z20" s="155">
        <f t="shared" si="12"/>
        <v>336.48</v>
      </c>
      <c r="AA20" s="155">
        <f t="shared" si="13"/>
        <v>1881.9800000000002</v>
      </c>
      <c r="AB20" s="155">
        <f t="shared" si="14"/>
        <v>227588.65</v>
      </c>
      <c r="AC20" s="155">
        <f t="shared" si="15"/>
        <v>132737.44</v>
      </c>
      <c r="AD20" s="155">
        <f t="shared" si="6"/>
        <v>364</v>
      </c>
      <c r="AE20" s="155">
        <f t="shared" si="7"/>
        <v>407413.32</v>
      </c>
      <c r="AF20" s="155">
        <v>0</v>
      </c>
      <c r="AG20" s="155">
        <v>0</v>
      </c>
      <c r="AH20" s="155">
        <v>0</v>
      </c>
      <c r="AI20" s="155">
        <v>0</v>
      </c>
      <c r="AJ20" s="155">
        <f t="shared" si="16"/>
        <v>0</v>
      </c>
      <c r="AK20" s="155">
        <f t="shared" si="17"/>
        <v>0</v>
      </c>
      <c r="AL20" s="154">
        <v>0</v>
      </c>
      <c r="AM20" s="154">
        <v>0</v>
      </c>
      <c r="AN20" s="154">
        <v>0</v>
      </c>
      <c r="AO20" s="154">
        <f t="shared" si="18"/>
        <v>364</v>
      </c>
      <c r="AP20" s="154">
        <f t="shared" si="9"/>
        <v>407413.32</v>
      </c>
      <c r="AQ20" s="154">
        <f t="shared" ref="AQ20:AQ38" si="20">AP20/AO20</f>
        <v>1119.2673626373626</v>
      </c>
    </row>
    <row r="21" spans="1:43">
      <c r="A21" s="86" t="s">
        <v>13</v>
      </c>
      <c r="B21" s="154">
        <v>9924</v>
      </c>
      <c r="C21" s="155">
        <f t="shared" si="1"/>
        <v>1505936.7</v>
      </c>
      <c r="D21" s="155">
        <v>211523.91999999998</v>
      </c>
      <c r="E21" s="155">
        <v>221235.03000000003</v>
      </c>
      <c r="F21" s="155">
        <v>118944.15000000001</v>
      </c>
      <c r="G21" s="155">
        <v>843485.24</v>
      </c>
      <c r="H21" s="155">
        <v>110748.36</v>
      </c>
      <c r="I21" s="154">
        <v>74</v>
      </c>
      <c r="J21" s="155">
        <f t="shared" si="2"/>
        <v>20429.650000000001</v>
      </c>
      <c r="K21" s="155">
        <v>1937.51</v>
      </c>
      <c r="L21" s="155">
        <v>3191.0099999999998</v>
      </c>
      <c r="M21" s="155">
        <v>541.66999999999996</v>
      </c>
      <c r="N21" s="155">
        <v>5663.61</v>
      </c>
      <c r="O21" s="155">
        <v>9095.85</v>
      </c>
      <c r="P21" s="154">
        <v>1172</v>
      </c>
      <c r="Q21" s="155">
        <f t="shared" si="3"/>
        <v>425185.35000000003</v>
      </c>
      <c r="R21" s="155">
        <v>56931.62000000001</v>
      </c>
      <c r="S21" s="155">
        <v>10396.81</v>
      </c>
      <c r="T21" s="155">
        <v>62130.57</v>
      </c>
      <c r="U21" s="155">
        <v>178031.46000000002</v>
      </c>
      <c r="V21" s="155">
        <v>117694.89</v>
      </c>
      <c r="W21" s="154">
        <f t="shared" si="4"/>
        <v>11170</v>
      </c>
      <c r="X21" s="155">
        <f t="shared" si="4"/>
        <v>1951551.7</v>
      </c>
      <c r="Y21" s="155">
        <f t="shared" si="11"/>
        <v>270393.05</v>
      </c>
      <c r="Z21" s="155">
        <f t="shared" si="12"/>
        <v>234822.85000000003</v>
      </c>
      <c r="AA21" s="155">
        <f t="shared" si="13"/>
        <v>181616.39</v>
      </c>
      <c r="AB21" s="155">
        <f t="shared" si="14"/>
        <v>1027180.31</v>
      </c>
      <c r="AC21" s="155">
        <f t="shared" si="15"/>
        <v>237539.1</v>
      </c>
      <c r="AD21" s="155">
        <f t="shared" si="6"/>
        <v>11170</v>
      </c>
      <c r="AE21" s="155">
        <f t="shared" si="7"/>
        <v>1951551.7</v>
      </c>
      <c r="AF21" s="155">
        <v>0</v>
      </c>
      <c r="AG21" s="155">
        <v>0</v>
      </c>
      <c r="AH21" s="155">
        <v>213</v>
      </c>
      <c r="AI21" s="155">
        <v>478108.83</v>
      </c>
      <c r="AJ21" s="155">
        <f t="shared" si="16"/>
        <v>213</v>
      </c>
      <c r="AK21" s="155">
        <f t="shared" si="17"/>
        <v>478108.83</v>
      </c>
      <c r="AL21" s="154">
        <v>0</v>
      </c>
      <c r="AM21" s="154">
        <v>0</v>
      </c>
      <c r="AN21" s="154">
        <v>0</v>
      </c>
      <c r="AO21" s="154">
        <f t="shared" si="18"/>
        <v>11383</v>
      </c>
      <c r="AP21" s="154">
        <f t="shared" si="9"/>
        <v>2429660.5299999998</v>
      </c>
      <c r="AQ21" s="154">
        <f t="shared" si="20"/>
        <v>213.44641395062811</v>
      </c>
    </row>
    <row r="22" spans="1:43">
      <c r="A22" s="86" t="s">
        <v>46</v>
      </c>
      <c r="B22" s="154">
        <v>137</v>
      </c>
      <c r="C22" s="155">
        <f t="shared" si="1"/>
        <v>11128.27</v>
      </c>
      <c r="D22" s="155">
        <v>3601.66</v>
      </c>
      <c r="E22" s="155">
        <v>1542.26</v>
      </c>
      <c r="F22" s="155">
        <v>778.02</v>
      </c>
      <c r="G22" s="155">
        <v>4662.2800000000007</v>
      </c>
      <c r="H22" s="155">
        <v>544.04999999999995</v>
      </c>
      <c r="I22" s="154">
        <v>0</v>
      </c>
      <c r="J22" s="155">
        <f t="shared" si="2"/>
        <v>0</v>
      </c>
      <c r="K22" s="155">
        <v>0</v>
      </c>
      <c r="L22" s="155">
        <v>0</v>
      </c>
      <c r="M22" s="155">
        <v>0</v>
      </c>
      <c r="N22" s="155">
        <v>0</v>
      </c>
      <c r="O22" s="155">
        <v>0</v>
      </c>
      <c r="P22" s="154">
        <v>3</v>
      </c>
      <c r="Q22" s="155">
        <f t="shared" si="3"/>
        <v>136.22999999999999</v>
      </c>
      <c r="R22" s="155">
        <v>75.599999999999994</v>
      </c>
      <c r="S22" s="155">
        <v>10.5</v>
      </c>
      <c r="T22" s="155">
        <v>30.74</v>
      </c>
      <c r="U22" s="155">
        <v>0</v>
      </c>
      <c r="V22" s="155">
        <v>19.39</v>
      </c>
      <c r="W22" s="154">
        <f t="shared" si="4"/>
        <v>140</v>
      </c>
      <c r="X22" s="155">
        <f t="shared" si="4"/>
        <v>11264.5</v>
      </c>
      <c r="Y22" s="155">
        <f t="shared" si="11"/>
        <v>3677.2599999999998</v>
      </c>
      <c r="Z22" s="155">
        <f t="shared" si="12"/>
        <v>1552.76</v>
      </c>
      <c r="AA22" s="155">
        <f t="shared" si="13"/>
        <v>808.76</v>
      </c>
      <c r="AB22" s="155">
        <f t="shared" si="14"/>
        <v>4662.2800000000007</v>
      </c>
      <c r="AC22" s="155">
        <f t="shared" si="15"/>
        <v>563.43999999999994</v>
      </c>
      <c r="AD22" s="155">
        <f t="shared" si="6"/>
        <v>140</v>
      </c>
      <c r="AE22" s="155">
        <f t="shared" si="7"/>
        <v>11264.5</v>
      </c>
      <c r="AF22" s="155">
        <v>0</v>
      </c>
      <c r="AG22" s="155">
        <v>0</v>
      </c>
      <c r="AH22" s="155">
        <v>0</v>
      </c>
      <c r="AI22" s="155">
        <v>0</v>
      </c>
      <c r="AJ22" s="155">
        <f t="shared" si="16"/>
        <v>0</v>
      </c>
      <c r="AK22" s="155">
        <f t="shared" si="17"/>
        <v>0</v>
      </c>
      <c r="AL22" s="154">
        <v>0</v>
      </c>
      <c r="AM22" s="154">
        <v>0</v>
      </c>
      <c r="AN22" s="154">
        <v>0</v>
      </c>
      <c r="AO22" s="154">
        <f t="shared" si="18"/>
        <v>140</v>
      </c>
      <c r="AP22" s="154">
        <f t="shared" si="9"/>
        <v>11264.5</v>
      </c>
      <c r="AQ22" s="154">
        <f t="shared" si="20"/>
        <v>80.460714285714289</v>
      </c>
    </row>
    <row r="23" spans="1:43">
      <c r="A23" s="86" t="s">
        <v>14</v>
      </c>
      <c r="B23" s="154">
        <v>10</v>
      </c>
      <c r="C23" s="155">
        <f t="shared" si="1"/>
        <v>4589.6000000000004</v>
      </c>
      <c r="D23" s="155">
        <v>1681.6799999999998</v>
      </c>
      <c r="E23" s="155">
        <v>0</v>
      </c>
      <c r="F23" s="155">
        <v>351.44</v>
      </c>
      <c r="G23" s="155">
        <v>0</v>
      </c>
      <c r="H23" s="155">
        <v>2556.48</v>
      </c>
      <c r="I23" s="154">
        <v>3</v>
      </c>
      <c r="J23" s="155">
        <f t="shared" si="2"/>
        <v>24423.07</v>
      </c>
      <c r="K23" s="155">
        <v>3024.95</v>
      </c>
      <c r="L23" s="155">
        <v>0</v>
      </c>
      <c r="M23" s="155">
        <v>124.92</v>
      </c>
      <c r="N23" s="155">
        <v>20243.580000000002</v>
      </c>
      <c r="O23" s="155">
        <v>1029.6199999999999</v>
      </c>
      <c r="P23" s="154">
        <v>30</v>
      </c>
      <c r="Q23" s="155">
        <f t="shared" si="3"/>
        <v>41282.869999999995</v>
      </c>
      <c r="R23" s="155">
        <v>22560.27</v>
      </c>
      <c r="S23" s="155">
        <v>0</v>
      </c>
      <c r="T23" s="155">
        <v>4884.6499999999996</v>
      </c>
      <c r="U23" s="155">
        <v>9274.2800000000007</v>
      </c>
      <c r="V23" s="155">
        <v>4563.67</v>
      </c>
      <c r="W23" s="154">
        <f t="shared" si="4"/>
        <v>43</v>
      </c>
      <c r="X23" s="155">
        <f t="shared" si="4"/>
        <v>70295.539999999994</v>
      </c>
      <c r="Y23" s="155">
        <f t="shared" si="11"/>
        <v>27266.9</v>
      </c>
      <c r="Z23" s="155">
        <f t="shared" si="12"/>
        <v>0</v>
      </c>
      <c r="AA23" s="155">
        <f t="shared" si="13"/>
        <v>5361.0099999999993</v>
      </c>
      <c r="AB23" s="155">
        <f t="shared" si="14"/>
        <v>29517.86</v>
      </c>
      <c r="AC23" s="155">
        <f t="shared" si="15"/>
        <v>8149.77</v>
      </c>
      <c r="AD23" s="155">
        <f t="shared" si="6"/>
        <v>43</v>
      </c>
      <c r="AE23" s="155">
        <f t="shared" si="7"/>
        <v>70295.539999999994</v>
      </c>
      <c r="AF23" s="155">
        <v>0</v>
      </c>
      <c r="AG23" s="155">
        <v>0</v>
      </c>
      <c r="AH23" s="155">
        <v>0</v>
      </c>
      <c r="AI23" s="155">
        <v>0</v>
      </c>
      <c r="AJ23" s="155">
        <f t="shared" si="16"/>
        <v>0</v>
      </c>
      <c r="AK23" s="155">
        <f t="shared" si="17"/>
        <v>0</v>
      </c>
      <c r="AL23" s="154">
        <v>0</v>
      </c>
      <c r="AM23" s="154">
        <v>0</v>
      </c>
      <c r="AN23" s="154">
        <v>0</v>
      </c>
      <c r="AO23" s="154">
        <f t="shared" si="18"/>
        <v>43</v>
      </c>
      <c r="AP23" s="154">
        <f t="shared" si="9"/>
        <v>70295.539999999994</v>
      </c>
      <c r="AQ23" s="154">
        <f t="shared" si="20"/>
        <v>1634.7799999999997</v>
      </c>
    </row>
    <row r="24" spans="1:43">
      <c r="A24" s="86" t="s">
        <v>15</v>
      </c>
      <c r="B24" s="154">
        <v>221</v>
      </c>
      <c r="C24" s="155">
        <f t="shared" si="1"/>
        <v>20081.45</v>
      </c>
      <c r="D24" s="155">
        <v>5633.77</v>
      </c>
      <c r="E24" s="155">
        <v>4503.91</v>
      </c>
      <c r="F24" s="155">
        <v>1043.75</v>
      </c>
      <c r="G24" s="155">
        <v>8143.9800000000005</v>
      </c>
      <c r="H24" s="155">
        <v>756.04</v>
      </c>
      <c r="I24" s="154">
        <v>0</v>
      </c>
      <c r="J24" s="155">
        <f t="shared" si="2"/>
        <v>0</v>
      </c>
      <c r="K24" s="155">
        <v>0</v>
      </c>
      <c r="L24" s="155">
        <v>0</v>
      </c>
      <c r="M24" s="155">
        <v>0</v>
      </c>
      <c r="N24" s="155">
        <v>0</v>
      </c>
      <c r="O24" s="155">
        <v>0</v>
      </c>
      <c r="P24" s="154">
        <v>22</v>
      </c>
      <c r="Q24" s="155">
        <f t="shared" si="3"/>
        <v>3275.84</v>
      </c>
      <c r="R24" s="155">
        <v>2093.73</v>
      </c>
      <c r="S24" s="155">
        <v>185.4</v>
      </c>
      <c r="T24" s="155">
        <v>216.16</v>
      </c>
      <c r="U24" s="155">
        <v>389.88</v>
      </c>
      <c r="V24" s="155">
        <v>390.67</v>
      </c>
      <c r="W24" s="154">
        <f t="shared" si="4"/>
        <v>243</v>
      </c>
      <c r="X24" s="155">
        <f t="shared" si="4"/>
        <v>23357.29</v>
      </c>
      <c r="Y24" s="155">
        <f t="shared" ref="Y24:Y36" si="21">D24+K24+R24</f>
        <v>7727.5</v>
      </c>
      <c r="Z24" s="155">
        <f t="shared" ref="Z24:Z36" si="22">E24+L24+S24</f>
        <v>4689.3099999999995</v>
      </c>
      <c r="AA24" s="155">
        <f t="shared" ref="AA24:AA36" si="23">F24+M24+T24</f>
        <v>1259.9100000000001</v>
      </c>
      <c r="AB24" s="155">
        <f t="shared" ref="AB24:AB36" si="24">G24+N24+U24</f>
        <v>8533.86</v>
      </c>
      <c r="AC24" s="155">
        <f t="shared" ref="AC24:AC36" si="25">H24+O24+V24</f>
        <v>1146.71</v>
      </c>
      <c r="AD24" s="155">
        <f t="shared" si="6"/>
        <v>243</v>
      </c>
      <c r="AE24" s="155">
        <f t="shared" si="7"/>
        <v>23357.29</v>
      </c>
      <c r="AF24" s="155">
        <v>0</v>
      </c>
      <c r="AG24" s="155">
        <v>0</v>
      </c>
      <c r="AH24" s="155">
        <v>0</v>
      </c>
      <c r="AI24" s="155">
        <v>0</v>
      </c>
      <c r="AJ24" s="155">
        <f t="shared" si="16"/>
        <v>0</v>
      </c>
      <c r="AK24" s="155">
        <f t="shared" si="17"/>
        <v>0</v>
      </c>
      <c r="AL24" s="154">
        <v>0</v>
      </c>
      <c r="AM24" s="154">
        <v>0</v>
      </c>
      <c r="AN24" s="154">
        <v>0</v>
      </c>
      <c r="AO24" s="154">
        <f t="shared" si="18"/>
        <v>243</v>
      </c>
      <c r="AP24" s="154">
        <f t="shared" si="9"/>
        <v>23357.29</v>
      </c>
      <c r="AQ24" s="154">
        <f t="shared" si="20"/>
        <v>96.120534979423866</v>
      </c>
    </row>
    <row r="25" spans="1:43">
      <c r="A25" s="86" t="s">
        <v>16</v>
      </c>
      <c r="B25" s="154">
        <v>17070</v>
      </c>
      <c r="C25" s="155">
        <f t="shared" si="1"/>
        <v>5278970.08</v>
      </c>
      <c r="D25" s="155">
        <v>1226801.57</v>
      </c>
      <c r="E25" s="155">
        <v>109321.01000000001</v>
      </c>
      <c r="F25" s="155">
        <v>189417.9</v>
      </c>
      <c r="G25" s="155">
        <v>2720122.18</v>
      </c>
      <c r="H25" s="155">
        <v>1033307.4199999999</v>
      </c>
      <c r="I25" s="154">
        <v>1009</v>
      </c>
      <c r="J25" s="155">
        <f t="shared" si="2"/>
        <v>6674791.2299999995</v>
      </c>
      <c r="K25" s="155">
        <v>1121633.2699999998</v>
      </c>
      <c r="L25" s="155">
        <v>367.40999999999997</v>
      </c>
      <c r="M25" s="155">
        <v>192326.29</v>
      </c>
      <c r="N25" s="155">
        <v>1133307.26</v>
      </c>
      <c r="O25" s="155">
        <v>4227157</v>
      </c>
      <c r="P25" s="154">
        <v>3205</v>
      </c>
      <c r="Q25" s="155">
        <f t="shared" si="3"/>
        <v>10009918.280000001</v>
      </c>
      <c r="R25" s="155">
        <v>1125473.8800000001</v>
      </c>
      <c r="S25" s="155">
        <v>189887.61</v>
      </c>
      <c r="T25" s="155">
        <v>793607.82</v>
      </c>
      <c r="U25" s="155">
        <v>2280895.14</v>
      </c>
      <c r="V25" s="155">
        <v>5620053.830000001</v>
      </c>
      <c r="W25" s="154">
        <f t="shared" si="4"/>
        <v>21284</v>
      </c>
      <c r="X25" s="155">
        <f t="shared" si="4"/>
        <v>21963679.59</v>
      </c>
      <c r="Y25" s="155">
        <f t="shared" si="21"/>
        <v>3473908.7199999997</v>
      </c>
      <c r="Z25" s="155">
        <f t="shared" si="22"/>
        <v>299576.03000000003</v>
      </c>
      <c r="AA25" s="155">
        <f t="shared" si="23"/>
        <v>1175352.01</v>
      </c>
      <c r="AB25" s="155">
        <f t="shared" si="24"/>
        <v>6134324.5800000001</v>
      </c>
      <c r="AC25" s="155">
        <f t="shared" si="25"/>
        <v>10880518.25</v>
      </c>
      <c r="AD25" s="155">
        <f t="shared" si="6"/>
        <v>21284</v>
      </c>
      <c r="AE25" s="155">
        <f t="shared" si="7"/>
        <v>21963679.59</v>
      </c>
      <c r="AF25" s="155">
        <v>0</v>
      </c>
      <c r="AG25" s="155">
        <v>0</v>
      </c>
      <c r="AH25" s="155">
        <v>0</v>
      </c>
      <c r="AI25" s="155">
        <v>0</v>
      </c>
      <c r="AJ25" s="155">
        <f t="shared" si="16"/>
        <v>0</v>
      </c>
      <c r="AK25" s="155">
        <f t="shared" si="17"/>
        <v>0</v>
      </c>
      <c r="AL25" s="154">
        <v>0</v>
      </c>
      <c r="AM25" s="154">
        <v>0</v>
      </c>
      <c r="AN25" s="154">
        <v>0</v>
      </c>
      <c r="AO25" s="154">
        <f t="shared" si="18"/>
        <v>21284</v>
      </c>
      <c r="AP25" s="154">
        <f t="shared" si="9"/>
        <v>21963679.59</v>
      </c>
      <c r="AQ25" s="154">
        <f t="shared" si="20"/>
        <v>1031.9338277579402</v>
      </c>
    </row>
    <row r="26" spans="1:43">
      <c r="A26" s="86" t="s">
        <v>17</v>
      </c>
      <c r="B26" s="154">
        <v>741</v>
      </c>
      <c r="C26" s="155">
        <f t="shared" si="1"/>
        <v>73254.87000000001</v>
      </c>
      <c r="D26" s="155">
        <v>36090.300000000003</v>
      </c>
      <c r="E26" s="155">
        <v>1187.4099999999999</v>
      </c>
      <c r="F26" s="155">
        <v>5061.5099999999993</v>
      </c>
      <c r="G26" s="155">
        <v>29478.019999999997</v>
      </c>
      <c r="H26" s="155">
        <v>1437.6299999999999</v>
      </c>
      <c r="I26" s="154">
        <v>0</v>
      </c>
      <c r="J26" s="155">
        <f t="shared" si="2"/>
        <v>0</v>
      </c>
      <c r="K26" s="155">
        <v>0</v>
      </c>
      <c r="L26" s="155">
        <v>0</v>
      </c>
      <c r="M26" s="155">
        <v>0</v>
      </c>
      <c r="N26" s="155">
        <v>0</v>
      </c>
      <c r="O26" s="155">
        <v>0</v>
      </c>
      <c r="P26" s="154">
        <v>20</v>
      </c>
      <c r="Q26" s="155">
        <f t="shared" si="3"/>
        <v>2963.4300000000003</v>
      </c>
      <c r="R26" s="155">
        <v>1056.28</v>
      </c>
      <c r="S26" s="155">
        <v>126.16999999999999</v>
      </c>
      <c r="T26" s="155">
        <v>437.39</v>
      </c>
      <c r="U26" s="155">
        <v>1209.8</v>
      </c>
      <c r="V26" s="155">
        <v>133.79</v>
      </c>
      <c r="W26" s="154">
        <f t="shared" si="4"/>
        <v>761</v>
      </c>
      <c r="X26" s="155">
        <f t="shared" si="4"/>
        <v>76218.300000000017</v>
      </c>
      <c r="Y26" s="155">
        <f t="shared" si="21"/>
        <v>37146.58</v>
      </c>
      <c r="Z26" s="155">
        <f t="shared" si="22"/>
        <v>1313.58</v>
      </c>
      <c r="AA26" s="155">
        <f t="shared" si="23"/>
        <v>5498.9</v>
      </c>
      <c r="AB26" s="155">
        <f t="shared" si="24"/>
        <v>30687.819999999996</v>
      </c>
      <c r="AC26" s="155">
        <f t="shared" si="25"/>
        <v>1571.4199999999998</v>
      </c>
      <c r="AD26" s="155">
        <f t="shared" si="6"/>
        <v>761</v>
      </c>
      <c r="AE26" s="155">
        <f t="shared" si="7"/>
        <v>76218.300000000017</v>
      </c>
      <c r="AF26" s="155">
        <v>0</v>
      </c>
      <c r="AG26" s="155">
        <v>0</v>
      </c>
      <c r="AH26" s="155">
        <v>0</v>
      </c>
      <c r="AI26" s="155">
        <v>0</v>
      </c>
      <c r="AJ26" s="155">
        <f t="shared" si="16"/>
        <v>0</v>
      </c>
      <c r="AK26" s="155">
        <f t="shared" si="17"/>
        <v>0</v>
      </c>
      <c r="AL26" s="154">
        <v>0</v>
      </c>
      <c r="AM26" s="154">
        <v>0</v>
      </c>
      <c r="AN26" s="154">
        <v>0</v>
      </c>
      <c r="AO26" s="154">
        <f t="shared" si="18"/>
        <v>761</v>
      </c>
      <c r="AP26" s="154">
        <f t="shared" si="9"/>
        <v>76218.300000000017</v>
      </c>
      <c r="AQ26" s="154">
        <f t="shared" si="20"/>
        <v>100.15545335085416</v>
      </c>
    </row>
    <row r="27" spans="1:43">
      <c r="A27" s="86" t="s">
        <v>18</v>
      </c>
      <c r="B27" s="154">
        <v>284</v>
      </c>
      <c r="C27" s="155">
        <f t="shared" si="1"/>
        <v>201889.08000000002</v>
      </c>
      <c r="D27" s="155">
        <v>3554.28</v>
      </c>
      <c r="E27" s="155">
        <v>1380.29</v>
      </c>
      <c r="F27" s="155">
        <v>2281.6499999999996</v>
      </c>
      <c r="G27" s="155">
        <v>193352.86000000002</v>
      </c>
      <c r="H27" s="155">
        <v>1319.9999999999998</v>
      </c>
      <c r="I27" s="154">
        <v>3</v>
      </c>
      <c r="J27" s="155">
        <f t="shared" si="2"/>
        <v>2175.0499999999997</v>
      </c>
      <c r="K27" s="155">
        <v>62.4</v>
      </c>
      <c r="L27" s="155">
        <v>0</v>
      </c>
      <c r="M27" s="155">
        <v>21.05</v>
      </c>
      <c r="N27" s="155">
        <v>2091.6</v>
      </c>
      <c r="O27" s="155">
        <v>0</v>
      </c>
      <c r="P27" s="154">
        <v>33</v>
      </c>
      <c r="Q27" s="155">
        <f t="shared" si="3"/>
        <v>2734.5</v>
      </c>
      <c r="R27" s="155">
        <v>943.06999999999994</v>
      </c>
      <c r="S27" s="155">
        <v>289.38</v>
      </c>
      <c r="T27" s="155">
        <v>218.83999999999997</v>
      </c>
      <c r="U27" s="155">
        <v>0</v>
      </c>
      <c r="V27" s="155">
        <v>1283.21</v>
      </c>
      <c r="W27" s="154">
        <f t="shared" si="4"/>
        <v>320</v>
      </c>
      <c r="X27" s="155">
        <f t="shared" si="4"/>
        <v>206798.63</v>
      </c>
      <c r="Y27" s="155">
        <f t="shared" si="21"/>
        <v>4559.75</v>
      </c>
      <c r="Z27" s="155">
        <f t="shared" si="22"/>
        <v>1669.67</v>
      </c>
      <c r="AA27" s="155">
        <f t="shared" si="23"/>
        <v>2521.54</v>
      </c>
      <c r="AB27" s="155">
        <f t="shared" si="24"/>
        <v>195444.46000000002</v>
      </c>
      <c r="AC27" s="155">
        <f t="shared" si="25"/>
        <v>2603.21</v>
      </c>
      <c r="AD27" s="155">
        <f t="shared" si="6"/>
        <v>320</v>
      </c>
      <c r="AE27" s="155">
        <f t="shared" si="7"/>
        <v>206798.63</v>
      </c>
      <c r="AF27" s="155">
        <v>0</v>
      </c>
      <c r="AG27" s="155">
        <v>0</v>
      </c>
      <c r="AH27" s="155">
        <v>0</v>
      </c>
      <c r="AI27" s="155">
        <v>0</v>
      </c>
      <c r="AJ27" s="155">
        <f t="shared" si="16"/>
        <v>0</v>
      </c>
      <c r="AK27" s="155">
        <f t="shared" si="17"/>
        <v>0</v>
      </c>
      <c r="AL27" s="154">
        <v>0</v>
      </c>
      <c r="AM27" s="154">
        <v>0</v>
      </c>
      <c r="AN27" s="154">
        <v>0</v>
      </c>
      <c r="AO27" s="154">
        <f t="shared" si="18"/>
        <v>320</v>
      </c>
      <c r="AP27" s="154">
        <f t="shared" si="9"/>
        <v>206798.63</v>
      </c>
      <c r="AQ27" s="154">
        <f t="shared" si="20"/>
        <v>646.24571875000004</v>
      </c>
    </row>
    <row r="28" spans="1:43">
      <c r="A28" s="86" t="s">
        <v>19</v>
      </c>
      <c r="B28" s="154">
        <v>1858</v>
      </c>
      <c r="C28" s="155">
        <f t="shared" si="1"/>
        <v>378476.76999999996</v>
      </c>
      <c r="D28" s="155">
        <v>151095.06999999998</v>
      </c>
      <c r="E28" s="155">
        <v>11840.43</v>
      </c>
      <c r="F28" s="155">
        <v>20867.66</v>
      </c>
      <c r="G28" s="155">
        <v>148300.93</v>
      </c>
      <c r="H28" s="155">
        <v>46372.68</v>
      </c>
      <c r="I28" s="154">
        <v>9</v>
      </c>
      <c r="J28" s="155">
        <f t="shared" si="2"/>
        <v>42774.64</v>
      </c>
      <c r="K28" s="155">
        <v>41099.839999999997</v>
      </c>
      <c r="L28" s="155">
        <v>0</v>
      </c>
      <c r="M28" s="155">
        <v>533.83000000000004</v>
      </c>
      <c r="N28" s="155">
        <v>0</v>
      </c>
      <c r="O28" s="155">
        <v>1140.97</v>
      </c>
      <c r="P28" s="154">
        <v>176</v>
      </c>
      <c r="Q28" s="155">
        <f t="shared" si="3"/>
        <v>6479.16</v>
      </c>
      <c r="R28" s="155">
        <v>-3718.77</v>
      </c>
      <c r="S28" s="155">
        <v>2896.02</v>
      </c>
      <c r="T28" s="155">
        <v>1128.43</v>
      </c>
      <c r="U28" s="155">
        <v>3447.66</v>
      </c>
      <c r="V28" s="155">
        <v>2725.82</v>
      </c>
      <c r="W28" s="154">
        <f t="shared" si="4"/>
        <v>2043</v>
      </c>
      <c r="X28" s="155">
        <f t="shared" si="4"/>
        <v>427730.56999999995</v>
      </c>
      <c r="Y28" s="155">
        <f t="shared" si="21"/>
        <v>188476.13999999998</v>
      </c>
      <c r="Z28" s="155">
        <f t="shared" si="22"/>
        <v>14736.45</v>
      </c>
      <c r="AA28" s="155">
        <f t="shared" si="23"/>
        <v>22529.920000000002</v>
      </c>
      <c r="AB28" s="155">
        <f t="shared" si="24"/>
        <v>151748.59</v>
      </c>
      <c r="AC28" s="155">
        <f t="shared" si="25"/>
        <v>50239.47</v>
      </c>
      <c r="AD28" s="155">
        <f t="shared" si="6"/>
        <v>2043</v>
      </c>
      <c r="AE28" s="155">
        <f t="shared" si="7"/>
        <v>427730.56999999995</v>
      </c>
      <c r="AF28" s="155">
        <v>0</v>
      </c>
      <c r="AG28" s="155">
        <v>0</v>
      </c>
      <c r="AH28" s="155">
        <v>0</v>
      </c>
      <c r="AI28" s="155">
        <v>0</v>
      </c>
      <c r="AJ28" s="155">
        <f t="shared" si="16"/>
        <v>0</v>
      </c>
      <c r="AK28" s="155">
        <f t="shared" si="17"/>
        <v>0</v>
      </c>
      <c r="AL28" s="154">
        <v>0</v>
      </c>
      <c r="AM28" s="154">
        <v>0</v>
      </c>
      <c r="AN28" s="154">
        <v>0</v>
      </c>
      <c r="AO28" s="154">
        <f t="shared" si="18"/>
        <v>2043</v>
      </c>
      <c r="AP28" s="154">
        <f t="shared" si="9"/>
        <v>427730.56999999995</v>
      </c>
      <c r="AQ28" s="154">
        <f t="shared" si="20"/>
        <v>209.36395986294661</v>
      </c>
    </row>
    <row r="29" spans="1:43">
      <c r="A29" s="86" t="s">
        <v>20</v>
      </c>
      <c r="B29" s="154">
        <v>5265</v>
      </c>
      <c r="C29" s="155">
        <f t="shared" si="1"/>
        <v>664481.04</v>
      </c>
      <c r="D29" s="155">
        <v>72673.570000000007</v>
      </c>
      <c r="E29" s="155">
        <v>101719.98999999999</v>
      </c>
      <c r="F29" s="155">
        <v>28652.289999999997</v>
      </c>
      <c r="G29" s="155">
        <v>429218.53</v>
      </c>
      <c r="H29" s="155">
        <v>32216.66</v>
      </c>
      <c r="I29" s="154">
        <v>16</v>
      </c>
      <c r="J29" s="155">
        <f t="shared" si="2"/>
        <v>4273.38</v>
      </c>
      <c r="K29" s="155">
        <v>45.89</v>
      </c>
      <c r="L29" s="155">
        <v>1747.53</v>
      </c>
      <c r="M29" s="155">
        <v>190.23000000000002</v>
      </c>
      <c r="N29" s="155">
        <v>957.18</v>
      </c>
      <c r="O29" s="155">
        <v>1332.55</v>
      </c>
      <c r="P29" s="154">
        <v>1543</v>
      </c>
      <c r="Q29" s="155">
        <f t="shared" si="3"/>
        <v>228019.94999999998</v>
      </c>
      <c r="R29" s="155">
        <v>59615.360000000001</v>
      </c>
      <c r="S29" s="155">
        <v>8372.61</v>
      </c>
      <c r="T29" s="155">
        <v>26834.19</v>
      </c>
      <c r="U29" s="155">
        <v>114639.64</v>
      </c>
      <c r="V29" s="155">
        <v>18558.150000000001</v>
      </c>
      <c r="W29" s="154">
        <f t="shared" si="4"/>
        <v>6824</v>
      </c>
      <c r="X29" s="155">
        <f t="shared" si="4"/>
        <v>896774.37</v>
      </c>
      <c r="Y29" s="155">
        <f t="shared" si="21"/>
        <v>132334.82</v>
      </c>
      <c r="Z29" s="155">
        <f t="shared" si="22"/>
        <v>111840.12999999999</v>
      </c>
      <c r="AA29" s="155">
        <f t="shared" si="23"/>
        <v>55676.709999999992</v>
      </c>
      <c r="AB29" s="155">
        <f t="shared" si="24"/>
        <v>544815.35</v>
      </c>
      <c r="AC29" s="155">
        <f t="shared" si="25"/>
        <v>52107.360000000001</v>
      </c>
      <c r="AD29" s="155">
        <f t="shared" si="6"/>
        <v>6824</v>
      </c>
      <c r="AE29" s="155">
        <f t="shared" si="7"/>
        <v>896774.37</v>
      </c>
      <c r="AF29" s="155">
        <v>-3</v>
      </c>
      <c r="AG29" s="155">
        <v>-103.22230719810801</v>
      </c>
      <c r="AH29" s="155">
        <v>-8</v>
      </c>
      <c r="AI29" s="155">
        <v>-971.46112622936812</v>
      </c>
      <c r="AJ29" s="155">
        <f t="shared" si="16"/>
        <v>-11</v>
      </c>
      <c r="AK29" s="155">
        <f t="shared" si="17"/>
        <v>-1074.6834334274761</v>
      </c>
      <c r="AL29" s="154">
        <v>2</v>
      </c>
      <c r="AM29" s="154">
        <v>112.7699999972</v>
      </c>
      <c r="AN29" s="154">
        <v>0</v>
      </c>
      <c r="AO29" s="154">
        <f t="shared" si="18"/>
        <v>6815</v>
      </c>
      <c r="AP29" s="154">
        <f t="shared" si="9"/>
        <v>895812.45656656974</v>
      </c>
      <c r="AQ29" s="154">
        <f t="shared" si="20"/>
        <v>131.44716897528536</v>
      </c>
    </row>
    <row r="30" spans="1:43">
      <c r="A30" s="86" t="s">
        <v>21</v>
      </c>
      <c r="B30" s="154">
        <v>103808</v>
      </c>
      <c r="C30" s="155">
        <f t="shared" si="1"/>
        <v>21812723.509999998</v>
      </c>
      <c r="D30" s="155">
        <v>6391089.8700000001</v>
      </c>
      <c r="E30" s="155">
        <v>695228.09</v>
      </c>
      <c r="F30" s="155">
        <v>1999508.3699999996</v>
      </c>
      <c r="G30" s="155">
        <v>8822358.3500000015</v>
      </c>
      <c r="H30" s="155">
        <v>3904538.8299999996</v>
      </c>
      <c r="I30" s="154">
        <v>287</v>
      </c>
      <c r="J30" s="155">
        <f t="shared" si="2"/>
        <v>109606.62</v>
      </c>
      <c r="K30" s="155">
        <v>2965.37</v>
      </c>
      <c r="L30" s="155">
        <v>2602.23</v>
      </c>
      <c r="M30" s="155">
        <v>317.03999999999996</v>
      </c>
      <c r="N30" s="155">
        <v>4823.63</v>
      </c>
      <c r="O30" s="155">
        <v>98898.349999999991</v>
      </c>
      <c r="P30" s="154">
        <v>505</v>
      </c>
      <c r="Q30" s="155">
        <f t="shared" si="3"/>
        <v>202078.59000000003</v>
      </c>
      <c r="R30" s="155">
        <v>40983.420000000006</v>
      </c>
      <c r="S30" s="155">
        <v>7721.72</v>
      </c>
      <c r="T30" s="155">
        <v>49251.26</v>
      </c>
      <c r="U30" s="155">
        <v>74468.680000000008</v>
      </c>
      <c r="V30" s="155">
        <v>29653.51</v>
      </c>
      <c r="W30" s="154">
        <f t="shared" si="4"/>
        <v>104600</v>
      </c>
      <c r="X30" s="155">
        <f t="shared" si="4"/>
        <v>22124408.719999999</v>
      </c>
      <c r="Y30" s="155">
        <f t="shared" si="21"/>
        <v>6435038.6600000001</v>
      </c>
      <c r="Z30" s="155">
        <f t="shared" si="22"/>
        <v>705552.03999999992</v>
      </c>
      <c r="AA30" s="155">
        <f t="shared" si="23"/>
        <v>2049076.6699999997</v>
      </c>
      <c r="AB30" s="155">
        <f t="shared" si="24"/>
        <v>8901650.660000002</v>
      </c>
      <c r="AC30" s="155">
        <f t="shared" si="25"/>
        <v>4033090.6899999995</v>
      </c>
      <c r="AD30" s="155">
        <f t="shared" si="6"/>
        <v>104600</v>
      </c>
      <c r="AE30" s="155">
        <f t="shared" si="7"/>
        <v>22124408.719999999</v>
      </c>
      <c r="AF30" s="155">
        <v>6</v>
      </c>
      <c r="AG30" s="155">
        <v>3150.84</v>
      </c>
      <c r="AH30" s="155">
        <v>1</v>
      </c>
      <c r="AI30" s="155">
        <v>866.88</v>
      </c>
      <c r="AJ30" s="155">
        <f t="shared" si="16"/>
        <v>7</v>
      </c>
      <c r="AK30" s="155">
        <f t="shared" si="17"/>
        <v>4017.7200000000003</v>
      </c>
      <c r="AL30" s="154">
        <v>47</v>
      </c>
      <c r="AM30" s="154">
        <v>1258.1199999999999</v>
      </c>
      <c r="AN30" s="154">
        <v>0</v>
      </c>
      <c r="AO30" s="154">
        <f t="shared" si="18"/>
        <v>104654</v>
      </c>
      <c r="AP30" s="154">
        <f t="shared" si="9"/>
        <v>22129684.559999999</v>
      </c>
      <c r="AQ30" s="154">
        <f t="shared" si="20"/>
        <v>211.45569744109159</v>
      </c>
    </row>
    <row r="31" spans="1:43">
      <c r="A31" s="86" t="s">
        <v>22</v>
      </c>
      <c r="B31" s="154">
        <v>1427</v>
      </c>
      <c r="C31" s="155">
        <f t="shared" si="1"/>
        <v>312334.89</v>
      </c>
      <c r="D31" s="155">
        <v>71613.209999999992</v>
      </c>
      <c r="E31" s="155">
        <v>10448.670000000002</v>
      </c>
      <c r="F31" s="155">
        <v>13510.68</v>
      </c>
      <c r="G31" s="155">
        <v>83808.77</v>
      </c>
      <c r="H31" s="155">
        <v>132953.56</v>
      </c>
      <c r="I31" s="154">
        <v>271</v>
      </c>
      <c r="J31" s="155">
        <f t="shared" si="2"/>
        <v>381732.77000000008</v>
      </c>
      <c r="K31" s="155">
        <v>6268.33</v>
      </c>
      <c r="L31" s="155">
        <v>161.38999999999999</v>
      </c>
      <c r="M31" s="155">
        <v>629.45000000000005</v>
      </c>
      <c r="N31" s="155">
        <v>5258.67</v>
      </c>
      <c r="O31" s="155">
        <v>369414.93000000005</v>
      </c>
      <c r="P31" s="154">
        <v>482</v>
      </c>
      <c r="Q31" s="155">
        <f t="shared" si="3"/>
        <v>108222.31000000001</v>
      </c>
      <c r="R31" s="155">
        <v>31514.93</v>
      </c>
      <c r="S31" s="155">
        <v>5848.68</v>
      </c>
      <c r="T31" s="155">
        <v>18021.47</v>
      </c>
      <c r="U31" s="155">
        <v>35535.93</v>
      </c>
      <c r="V31" s="155">
        <v>17301.3</v>
      </c>
      <c r="W31" s="154">
        <f t="shared" si="4"/>
        <v>2180</v>
      </c>
      <c r="X31" s="155">
        <f t="shared" si="4"/>
        <v>802289.9700000002</v>
      </c>
      <c r="Y31" s="155">
        <f t="shared" si="21"/>
        <v>109396.47</v>
      </c>
      <c r="Z31" s="155">
        <f t="shared" si="22"/>
        <v>16458.740000000002</v>
      </c>
      <c r="AA31" s="155">
        <f t="shared" si="23"/>
        <v>32161.600000000002</v>
      </c>
      <c r="AB31" s="155">
        <f t="shared" si="24"/>
        <v>124603.37</v>
      </c>
      <c r="AC31" s="155">
        <f t="shared" si="25"/>
        <v>519669.79000000004</v>
      </c>
      <c r="AD31" s="155">
        <f t="shared" si="6"/>
        <v>2180</v>
      </c>
      <c r="AE31" s="155">
        <f t="shared" si="7"/>
        <v>802289.9700000002</v>
      </c>
      <c r="AF31" s="155">
        <v>0</v>
      </c>
      <c r="AG31" s="155">
        <v>0</v>
      </c>
      <c r="AH31" s="155">
        <v>0</v>
      </c>
      <c r="AI31" s="155">
        <v>0</v>
      </c>
      <c r="AJ31" s="155">
        <f t="shared" si="16"/>
        <v>0</v>
      </c>
      <c r="AK31" s="155">
        <f t="shared" si="17"/>
        <v>0</v>
      </c>
      <c r="AL31" s="154">
        <v>2</v>
      </c>
      <c r="AM31" s="154">
        <v>0</v>
      </c>
      <c r="AN31" s="154">
        <v>0</v>
      </c>
      <c r="AO31" s="154">
        <f t="shared" si="18"/>
        <v>2182</v>
      </c>
      <c r="AP31" s="154">
        <f t="shared" si="9"/>
        <v>802289.9700000002</v>
      </c>
      <c r="AQ31" s="154">
        <f t="shared" si="20"/>
        <v>367.68559578368479</v>
      </c>
    </row>
    <row r="32" spans="1:43">
      <c r="A32" s="86" t="s">
        <v>23</v>
      </c>
      <c r="B32" s="154">
        <v>1160</v>
      </c>
      <c r="C32" s="155">
        <f t="shared" si="1"/>
        <v>248833.70999999996</v>
      </c>
      <c r="D32" s="155">
        <v>14515.39</v>
      </c>
      <c r="E32" s="155">
        <v>139553.65</v>
      </c>
      <c r="F32" s="155">
        <v>5172.2199999999993</v>
      </c>
      <c r="G32" s="155">
        <v>72465.399999999994</v>
      </c>
      <c r="H32" s="155">
        <v>17127.05</v>
      </c>
      <c r="I32" s="154">
        <v>9</v>
      </c>
      <c r="J32" s="155">
        <f t="shared" si="2"/>
        <v>5087.63</v>
      </c>
      <c r="K32" s="155">
        <v>33</v>
      </c>
      <c r="L32" s="155">
        <v>4698.84</v>
      </c>
      <c r="M32" s="155">
        <v>0</v>
      </c>
      <c r="N32" s="155">
        <v>0</v>
      </c>
      <c r="O32" s="155">
        <v>355.79</v>
      </c>
      <c r="P32" s="154">
        <v>165</v>
      </c>
      <c r="Q32" s="155">
        <f t="shared" si="3"/>
        <v>20577.349999999999</v>
      </c>
      <c r="R32" s="155">
        <v>5530.3899999999994</v>
      </c>
      <c r="S32" s="155">
        <v>4549.76</v>
      </c>
      <c r="T32" s="155">
        <v>2710.69</v>
      </c>
      <c r="U32" s="155">
        <v>4325.4800000000005</v>
      </c>
      <c r="V32" s="155">
        <v>3461.03</v>
      </c>
      <c r="W32" s="154">
        <f t="shared" si="4"/>
        <v>1334</v>
      </c>
      <c r="X32" s="155">
        <f t="shared" si="4"/>
        <v>274498.68999999994</v>
      </c>
      <c r="Y32" s="155">
        <f t="shared" si="21"/>
        <v>20078.78</v>
      </c>
      <c r="Z32" s="155">
        <f t="shared" si="22"/>
        <v>148802.25</v>
      </c>
      <c r="AA32" s="155">
        <f t="shared" si="23"/>
        <v>7882.91</v>
      </c>
      <c r="AB32" s="155">
        <f t="shared" si="24"/>
        <v>76790.87999999999</v>
      </c>
      <c r="AC32" s="155">
        <f t="shared" si="25"/>
        <v>20943.87</v>
      </c>
      <c r="AD32" s="155">
        <f t="shared" si="6"/>
        <v>1334</v>
      </c>
      <c r="AE32" s="155">
        <f t="shared" si="7"/>
        <v>274498.68999999994</v>
      </c>
      <c r="AF32" s="155">
        <v>0</v>
      </c>
      <c r="AG32" s="155">
        <v>0</v>
      </c>
      <c r="AH32" s="155">
        <v>0</v>
      </c>
      <c r="AI32" s="155">
        <v>0</v>
      </c>
      <c r="AJ32" s="155">
        <f t="shared" si="16"/>
        <v>0</v>
      </c>
      <c r="AK32" s="155">
        <f t="shared" si="17"/>
        <v>0</v>
      </c>
      <c r="AL32" s="154">
        <v>0</v>
      </c>
      <c r="AM32" s="154">
        <v>0</v>
      </c>
      <c r="AN32" s="154">
        <v>0</v>
      </c>
      <c r="AO32" s="154">
        <f t="shared" si="18"/>
        <v>1334</v>
      </c>
      <c r="AP32" s="154">
        <f t="shared" si="9"/>
        <v>274498.68999999994</v>
      </c>
      <c r="AQ32" s="154">
        <f t="shared" si="20"/>
        <v>205.77113193403295</v>
      </c>
    </row>
    <row r="33" spans="1:44">
      <c r="A33" s="86" t="s">
        <v>24</v>
      </c>
      <c r="B33" s="154">
        <v>1981</v>
      </c>
      <c r="C33" s="155">
        <f t="shared" si="1"/>
        <v>289561.69999999995</v>
      </c>
      <c r="D33" s="155">
        <v>36404.79</v>
      </c>
      <c r="E33" s="155">
        <v>49229.83</v>
      </c>
      <c r="F33" s="155">
        <v>12302.85</v>
      </c>
      <c r="G33" s="155">
        <v>166114.62</v>
      </c>
      <c r="H33" s="155">
        <v>25509.61</v>
      </c>
      <c r="I33" s="154">
        <v>12</v>
      </c>
      <c r="J33" s="155">
        <f t="shared" si="2"/>
        <v>19225.38</v>
      </c>
      <c r="K33" s="155">
        <v>0</v>
      </c>
      <c r="L33" s="155">
        <v>21.88</v>
      </c>
      <c r="M33" s="155">
        <v>0</v>
      </c>
      <c r="N33" s="155">
        <v>18508.400000000001</v>
      </c>
      <c r="O33" s="155">
        <v>695.1</v>
      </c>
      <c r="P33" s="154">
        <v>386</v>
      </c>
      <c r="Q33" s="155">
        <f t="shared" si="3"/>
        <v>72203.759999999995</v>
      </c>
      <c r="R33" s="155">
        <v>13290.96</v>
      </c>
      <c r="S33" s="155">
        <v>6280.34</v>
      </c>
      <c r="T33" s="155">
        <v>6141.59</v>
      </c>
      <c r="U33" s="155">
        <v>36202.71</v>
      </c>
      <c r="V33" s="155">
        <v>10288.16</v>
      </c>
      <c r="W33" s="154">
        <f t="shared" si="4"/>
        <v>2379</v>
      </c>
      <c r="X33" s="155">
        <f t="shared" si="4"/>
        <v>380990.83999999997</v>
      </c>
      <c r="Y33" s="155">
        <f t="shared" si="21"/>
        <v>49695.75</v>
      </c>
      <c r="Z33" s="155">
        <f t="shared" si="22"/>
        <v>55532.05</v>
      </c>
      <c r="AA33" s="155">
        <f t="shared" si="23"/>
        <v>18444.440000000002</v>
      </c>
      <c r="AB33" s="155">
        <f t="shared" si="24"/>
        <v>220825.72999999998</v>
      </c>
      <c r="AC33" s="155">
        <f t="shared" si="25"/>
        <v>36492.869999999995</v>
      </c>
      <c r="AD33" s="155">
        <f t="shared" si="6"/>
        <v>2379</v>
      </c>
      <c r="AE33" s="155">
        <f t="shared" si="7"/>
        <v>380990.83999999997</v>
      </c>
      <c r="AF33" s="155">
        <v>0</v>
      </c>
      <c r="AG33" s="155">
        <v>0</v>
      </c>
      <c r="AH33" s="155">
        <v>4</v>
      </c>
      <c r="AI33" s="155">
        <v>5661127.2299981816</v>
      </c>
      <c r="AJ33" s="155">
        <f t="shared" si="16"/>
        <v>4</v>
      </c>
      <c r="AK33" s="155">
        <f t="shared" si="17"/>
        <v>5661127.2299981816</v>
      </c>
      <c r="AL33" s="154">
        <v>0</v>
      </c>
      <c r="AM33" s="154">
        <v>0</v>
      </c>
      <c r="AN33" s="154">
        <v>0</v>
      </c>
      <c r="AO33" s="154">
        <f t="shared" si="18"/>
        <v>2383</v>
      </c>
      <c r="AP33" s="154">
        <f t="shared" si="9"/>
        <v>6042118.0699981814</v>
      </c>
      <c r="AQ33" s="154">
        <f t="shared" si="20"/>
        <v>2535.5090516148475</v>
      </c>
    </row>
    <row r="34" spans="1:44">
      <c r="A34" s="86" t="s">
        <v>25</v>
      </c>
      <c r="B34" s="154">
        <v>618</v>
      </c>
      <c r="C34" s="155">
        <f t="shared" si="1"/>
        <v>106960.10999999999</v>
      </c>
      <c r="D34" s="155">
        <v>7772.68</v>
      </c>
      <c r="E34" s="155">
        <v>3683.6699999999996</v>
      </c>
      <c r="F34" s="155">
        <v>19871.54</v>
      </c>
      <c r="G34" s="155">
        <v>46254.29</v>
      </c>
      <c r="H34" s="155">
        <v>29377.929999999997</v>
      </c>
      <c r="I34" s="154">
        <v>6</v>
      </c>
      <c r="J34" s="155">
        <f t="shared" si="2"/>
        <v>1233.9100000000001</v>
      </c>
      <c r="K34" s="155">
        <v>129.57999999999998</v>
      </c>
      <c r="L34" s="155">
        <v>0</v>
      </c>
      <c r="M34" s="155">
        <v>80.650000000000006</v>
      </c>
      <c r="N34" s="155">
        <v>81</v>
      </c>
      <c r="O34" s="155">
        <v>942.68000000000006</v>
      </c>
      <c r="P34" s="154">
        <v>342</v>
      </c>
      <c r="Q34" s="155">
        <f t="shared" si="3"/>
        <v>62259.64</v>
      </c>
      <c r="R34" s="155">
        <v>8207.57</v>
      </c>
      <c r="S34" s="155">
        <v>3112.2599999999998</v>
      </c>
      <c r="T34" s="155">
        <v>10637.57</v>
      </c>
      <c r="U34" s="155">
        <v>21103.89</v>
      </c>
      <c r="V34" s="155">
        <v>19198.349999999999</v>
      </c>
      <c r="W34" s="154">
        <f t="shared" si="4"/>
        <v>966</v>
      </c>
      <c r="X34" s="155">
        <f t="shared" si="4"/>
        <v>170453.65999999997</v>
      </c>
      <c r="Y34" s="155">
        <f t="shared" si="21"/>
        <v>16109.83</v>
      </c>
      <c r="Z34" s="155">
        <f t="shared" si="22"/>
        <v>6795.9299999999994</v>
      </c>
      <c r="AA34" s="155">
        <f t="shared" si="23"/>
        <v>30589.760000000002</v>
      </c>
      <c r="AB34" s="155">
        <f t="shared" si="24"/>
        <v>67439.179999999993</v>
      </c>
      <c r="AC34" s="155">
        <f t="shared" si="25"/>
        <v>49518.959999999992</v>
      </c>
      <c r="AD34" s="155">
        <f t="shared" si="6"/>
        <v>966</v>
      </c>
      <c r="AE34" s="155">
        <f t="shared" si="7"/>
        <v>170453.65999999997</v>
      </c>
      <c r="AF34" s="155">
        <v>0</v>
      </c>
      <c r="AG34" s="155">
        <v>0</v>
      </c>
      <c r="AH34" s="155">
        <v>0</v>
      </c>
      <c r="AI34" s="155">
        <v>0</v>
      </c>
      <c r="AJ34" s="155">
        <f t="shared" si="16"/>
        <v>0</v>
      </c>
      <c r="AK34" s="155">
        <f t="shared" si="17"/>
        <v>0</v>
      </c>
      <c r="AL34" s="154">
        <v>0</v>
      </c>
      <c r="AM34" s="154">
        <v>0</v>
      </c>
      <c r="AN34" s="154">
        <v>0</v>
      </c>
      <c r="AO34" s="154">
        <f t="shared" si="18"/>
        <v>966</v>
      </c>
      <c r="AP34" s="154">
        <f t="shared" si="9"/>
        <v>170453.65999999997</v>
      </c>
      <c r="AQ34" s="154">
        <f t="shared" si="20"/>
        <v>176.45306418219459</v>
      </c>
    </row>
    <row r="35" spans="1:44">
      <c r="A35" s="86" t="s">
        <v>26</v>
      </c>
      <c r="B35" s="154">
        <v>391</v>
      </c>
      <c r="C35" s="155">
        <f t="shared" si="1"/>
        <v>61817.04</v>
      </c>
      <c r="D35" s="155">
        <v>27606.21</v>
      </c>
      <c r="E35" s="155">
        <v>1741.2299999999998</v>
      </c>
      <c r="F35" s="155">
        <v>2640.26</v>
      </c>
      <c r="G35" s="155">
        <v>28725.620000000003</v>
      </c>
      <c r="H35" s="155">
        <v>1103.72</v>
      </c>
      <c r="I35" s="154">
        <v>0</v>
      </c>
      <c r="J35" s="155">
        <f t="shared" si="2"/>
        <v>0</v>
      </c>
      <c r="K35" s="155">
        <v>0</v>
      </c>
      <c r="L35" s="155">
        <v>0</v>
      </c>
      <c r="M35" s="155">
        <v>0</v>
      </c>
      <c r="N35" s="155">
        <v>0</v>
      </c>
      <c r="O35" s="155">
        <v>0</v>
      </c>
      <c r="P35" s="154">
        <v>107</v>
      </c>
      <c r="Q35" s="155">
        <f t="shared" si="3"/>
        <v>106232.34999999998</v>
      </c>
      <c r="R35" s="155">
        <v>46674.21</v>
      </c>
      <c r="S35" s="155">
        <v>929.33999999999992</v>
      </c>
      <c r="T35" s="155">
        <v>11391.41</v>
      </c>
      <c r="U35" s="155">
        <v>41896.71</v>
      </c>
      <c r="V35" s="155">
        <v>5340.6799999999994</v>
      </c>
      <c r="W35" s="154">
        <f t="shared" si="4"/>
        <v>498</v>
      </c>
      <c r="X35" s="155">
        <f t="shared" si="4"/>
        <v>168049.38999999998</v>
      </c>
      <c r="Y35" s="155">
        <f t="shared" si="21"/>
        <v>74280.42</v>
      </c>
      <c r="Z35" s="155">
        <f t="shared" si="22"/>
        <v>2670.5699999999997</v>
      </c>
      <c r="AA35" s="155">
        <f t="shared" si="23"/>
        <v>14031.67</v>
      </c>
      <c r="AB35" s="155">
        <f t="shared" si="24"/>
        <v>70622.33</v>
      </c>
      <c r="AC35" s="155">
        <f t="shared" si="25"/>
        <v>6444.4</v>
      </c>
      <c r="AD35" s="155">
        <f t="shared" si="6"/>
        <v>498</v>
      </c>
      <c r="AE35" s="155">
        <f t="shared" si="7"/>
        <v>168049.38999999998</v>
      </c>
      <c r="AF35" s="155">
        <v>0</v>
      </c>
      <c r="AG35" s="155">
        <v>0</v>
      </c>
      <c r="AH35" s="155">
        <v>0</v>
      </c>
      <c r="AI35" s="155">
        <v>0</v>
      </c>
      <c r="AJ35" s="155">
        <f t="shared" si="16"/>
        <v>0</v>
      </c>
      <c r="AK35" s="155">
        <f t="shared" si="17"/>
        <v>0</v>
      </c>
      <c r="AL35" s="154">
        <v>0</v>
      </c>
      <c r="AM35" s="154">
        <v>0</v>
      </c>
      <c r="AN35" s="154">
        <v>0</v>
      </c>
      <c r="AO35" s="154">
        <f t="shared" si="18"/>
        <v>498</v>
      </c>
      <c r="AP35" s="154">
        <f t="shared" si="9"/>
        <v>168049.38999999998</v>
      </c>
      <c r="AQ35" s="154">
        <f t="shared" si="20"/>
        <v>337.44857429718871</v>
      </c>
    </row>
    <row r="36" spans="1:44">
      <c r="A36" s="86" t="s">
        <v>27</v>
      </c>
      <c r="B36" s="154">
        <v>322</v>
      </c>
      <c r="C36" s="155">
        <f t="shared" si="1"/>
        <v>38138.460000000006</v>
      </c>
      <c r="D36" s="155">
        <v>3241.9799999999996</v>
      </c>
      <c r="E36" s="155">
        <v>1895.85</v>
      </c>
      <c r="F36" s="155">
        <v>5085.7700000000004</v>
      </c>
      <c r="G36" s="155">
        <v>21474.45</v>
      </c>
      <c r="H36" s="155">
        <v>6440.41</v>
      </c>
      <c r="I36" s="154">
        <v>0</v>
      </c>
      <c r="J36" s="155">
        <f t="shared" si="2"/>
        <v>0</v>
      </c>
      <c r="K36" s="155">
        <v>0</v>
      </c>
      <c r="L36" s="155">
        <v>0</v>
      </c>
      <c r="M36" s="155">
        <v>0</v>
      </c>
      <c r="N36" s="155">
        <v>0</v>
      </c>
      <c r="O36" s="155">
        <v>0</v>
      </c>
      <c r="P36" s="154">
        <v>26</v>
      </c>
      <c r="Q36" s="155">
        <f t="shared" si="3"/>
        <v>886.4</v>
      </c>
      <c r="R36" s="155">
        <v>494.01</v>
      </c>
      <c r="S36" s="155">
        <v>276.02</v>
      </c>
      <c r="T36" s="155">
        <v>15.26</v>
      </c>
      <c r="U36" s="155">
        <v>38.619999999999997</v>
      </c>
      <c r="V36" s="155">
        <v>62.49</v>
      </c>
      <c r="W36" s="154">
        <f t="shared" si="4"/>
        <v>348</v>
      </c>
      <c r="X36" s="155">
        <f t="shared" si="4"/>
        <v>39024.860000000008</v>
      </c>
      <c r="Y36" s="155">
        <f t="shared" si="21"/>
        <v>3735.99</v>
      </c>
      <c r="Z36" s="155">
        <f t="shared" si="22"/>
        <v>2171.87</v>
      </c>
      <c r="AA36" s="155">
        <f t="shared" si="23"/>
        <v>5101.0300000000007</v>
      </c>
      <c r="AB36" s="155">
        <f t="shared" si="24"/>
        <v>21513.07</v>
      </c>
      <c r="AC36" s="155">
        <f t="shared" si="25"/>
        <v>6502.9</v>
      </c>
      <c r="AD36" s="155">
        <f t="shared" si="6"/>
        <v>348</v>
      </c>
      <c r="AE36" s="155">
        <f t="shared" si="7"/>
        <v>39024.860000000008</v>
      </c>
      <c r="AF36" s="155">
        <v>0</v>
      </c>
      <c r="AG36" s="155">
        <v>0</v>
      </c>
      <c r="AH36" s="155">
        <v>0</v>
      </c>
      <c r="AI36" s="155">
        <v>0</v>
      </c>
      <c r="AJ36" s="155">
        <f t="shared" si="16"/>
        <v>0</v>
      </c>
      <c r="AK36" s="155">
        <f t="shared" si="17"/>
        <v>0</v>
      </c>
      <c r="AL36" s="154">
        <v>0</v>
      </c>
      <c r="AM36" s="154">
        <v>0</v>
      </c>
      <c r="AN36" s="154">
        <v>0</v>
      </c>
      <c r="AO36" s="154">
        <f t="shared" si="18"/>
        <v>348</v>
      </c>
      <c r="AP36" s="154">
        <f t="shared" si="9"/>
        <v>39024.860000000008</v>
      </c>
      <c r="AQ36" s="154">
        <f t="shared" si="20"/>
        <v>112.1404022988506</v>
      </c>
    </row>
    <row r="37" spans="1:44">
      <c r="A37" s="86" t="s">
        <v>28</v>
      </c>
      <c r="B37" s="154">
        <v>18783</v>
      </c>
      <c r="C37" s="155">
        <f t="shared" si="1"/>
        <v>14251464.689999999</v>
      </c>
      <c r="D37" s="155">
        <v>1572268.23</v>
      </c>
      <c r="E37" s="155">
        <v>25205.180000000004</v>
      </c>
      <c r="F37" s="155">
        <v>235075.16999999998</v>
      </c>
      <c r="G37" s="155">
        <v>10047545.26</v>
      </c>
      <c r="H37" s="155">
        <v>2371370.85</v>
      </c>
      <c r="I37" s="154">
        <f>1180-J55</f>
        <v>1171</v>
      </c>
      <c r="J37" s="155">
        <f t="shared" si="2"/>
        <v>11467353.119999999</v>
      </c>
      <c r="K37" s="155">
        <v>1718112.19</v>
      </c>
      <c r="L37" s="155">
        <v>1485.56</v>
      </c>
      <c r="M37" s="155">
        <v>1530104.68</v>
      </c>
      <c r="N37" s="155">
        <f>8486932.43-K55</f>
        <v>7884472.4299999997</v>
      </c>
      <c r="O37" s="155">
        <v>333178.26</v>
      </c>
      <c r="P37" s="154">
        <v>2632</v>
      </c>
      <c r="Q37" s="155">
        <f t="shared" si="3"/>
        <v>5715934.3599999994</v>
      </c>
      <c r="R37" s="155">
        <v>1750890.9100000001</v>
      </c>
      <c r="S37" s="155">
        <v>6505.1399999999994</v>
      </c>
      <c r="T37" s="155">
        <v>1058214.8899999999</v>
      </c>
      <c r="U37" s="155">
        <v>1545703.81</v>
      </c>
      <c r="V37" s="155">
        <v>1354619.6099999999</v>
      </c>
      <c r="W37" s="154">
        <f t="shared" ref="W37:AC37" si="26">B37+I37+P37</f>
        <v>22586</v>
      </c>
      <c r="X37" s="155">
        <f t="shared" si="26"/>
        <v>31434752.169999998</v>
      </c>
      <c r="Y37" s="155">
        <f t="shared" si="26"/>
        <v>5041271.33</v>
      </c>
      <c r="Z37" s="155">
        <f t="shared" si="26"/>
        <v>33195.880000000005</v>
      </c>
      <c r="AA37" s="155">
        <f t="shared" si="26"/>
        <v>2823394.7399999998</v>
      </c>
      <c r="AB37" s="155">
        <f t="shared" si="26"/>
        <v>19477721.499999996</v>
      </c>
      <c r="AC37" s="155">
        <f t="shared" si="26"/>
        <v>4059168.72</v>
      </c>
      <c r="AD37" s="155">
        <f t="shared" si="6"/>
        <v>22586</v>
      </c>
      <c r="AE37" s="155">
        <f t="shared" si="7"/>
        <v>31434752.169999998</v>
      </c>
      <c r="AF37" s="155">
        <v>0</v>
      </c>
      <c r="AG37" s="155">
        <v>0</v>
      </c>
      <c r="AH37" s="155">
        <v>-45</v>
      </c>
      <c r="AI37" s="155">
        <v>10411.201096828234</v>
      </c>
      <c r="AJ37" s="155">
        <f t="shared" si="16"/>
        <v>-45</v>
      </c>
      <c r="AK37" s="155">
        <f t="shared" si="17"/>
        <v>10411.201096828234</v>
      </c>
      <c r="AL37" s="154">
        <v>2</v>
      </c>
      <c r="AM37" s="154">
        <v>421.08999999536996</v>
      </c>
      <c r="AN37" s="154">
        <v>0</v>
      </c>
      <c r="AO37" s="154">
        <f t="shared" si="18"/>
        <v>22543</v>
      </c>
      <c r="AP37" s="154">
        <f t="shared" si="9"/>
        <v>31445584.461096823</v>
      </c>
      <c r="AQ37" s="154">
        <f t="shared" si="20"/>
        <v>1394.9156927248735</v>
      </c>
    </row>
    <row r="38" spans="1:44">
      <c r="A38" s="10" t="s">
        <v>47</v>
      </c>
      <c r="B38" s="156">
        <f t="shared" ref="B38:AP38" si="27">SUM(B7:B37)</f>
        <v>323123</v>
      </c>
      <c r="C38" s="156">
        <f t="shared" si="27"/>
        <v>123168067.41999999</v>
      </c>
      <c r="D38" s="156">
        <f t="shared" si="27"/>
        <v>29239135.460000005</v>
      </c>
      <c r="E38" s="156">
        <f t="shared" si="27"/>
        <v>3971471.8899999997</v>
      </c>
      <c r="F38" s="156">
        <f t="shared" si="27"/>
        <v>7219948.5199999996</v>
      </c>
      <c r="G38" s="156">
        <f t="shared" si="27"/>
        <v>56477077.420000002</v>
      </c>
      <c r="H38" s="156">
        <f t="shared" si="27"/>
        <v>26260434.129999992</v>
      </c>
      <c r="I38" s="156">
        <f t="shared" si="27"/>
        <v>75006</v>
      </c>
      <c r="J38" s="156">
        <f t="shared" si="27"/>
        <v>139635900.64999998</v>
      </c>
      <c r="K38" s="156">
        <f t="shared" si="27"/>
        <v>15351133.23</v>
      </c>
      <c r="L38" s="156">
        <f t="shared" si="27"/>
        <v>62242.73</v>
      </c>
      <c r="M38" s="156">
        <f t="shared" si="27"/>
        <v>3546252.09</v>
      </c>
      <c r="N38" s="156">
        <f t="shared" si="27"/>
        <v>110593851.68000001</v>
      </c>
      <c r="O38" s="156">
        <f t="shared" si="27"/>
        <v>10082420.919999998</v>
      </c>
      <c r="P38" s="156">
        <f t="shared" si="27"/>
        <v>59819</v>
      </c>
      <c r="Q38" s="156">
        <f t="shared" si="27"/>
        <v>93837958.540000007</v>
      </c>
      <c r="R38" s="156">
        <f t="shared" si="27"/>
        <v>27812074.450000003</v>
      </c>
      <c r="S38" s="156">
        <f t="shared" si="27"/>
        <v>1933111.31</v>
      </c>
      <c r="T38" s="156">
        <f t="shared" si="27"/>
        <v>10550211.130000001</v>
      </c>
      <c r="U38" s="156">
        <f t="shared" si="27"/>
        <v>25547889.869999997</v>
      </c>
      <c r="V38" s="156">
        <f t="shared" si="27"/>
        <v>27994671.780000009</v>
      </c>
      <c r="W38" s="156">
        <f t="shared" si="27"/>
        <v>457948</v>
      </c>
      <c r="X38" s="156">
        <f t="shared" si="27"/>
        <v>356641926.61000001</v>
      </c>
      <c r="Y38" s="156">
        <f t="shared" si="27"/>
        <v>72402343.139999986</v>
      </c>
      <c r="Z38" s="156">
        <f t="shared" si="27"/>
        <v>5966825.9299999997</v>
      </c>
      <c r="AA38" s="156">
        <f t="shared" si="27"/>
        <v>21316411.74000001</v>
      </c>
      <c r="AB38" s="156">
        <f t="shared" si="27"/>
        <v>192618818.97</v>
      </c>
      <c r="AC38" s="156">
        <f t="shared" si="27"/>
        <v>64337526.829999991</v>
      </c>
      <c r="AD38" s="157">
        <f t="shared" si="27"/>
        <v>457948</v>
      </c>
      <c r="AE38" s="157">
        <f t="shared" si="27"/>
        <v>356641926.61000001</v>
      </c>
      <c r="AF38" s="157">
        <f t="shared" si="27"/>
        <v>18</v>
      </c>
      <c r="AG38" s="157">
        <f t="shared" si="27"/>
        <v>18466.537692801892</v>
      </c>
      <c r="AH38" s="157">
        <f t="shared" si="27"/>
        <v>454</v>
      </c>
      <c r="AI38" s="157">
        <f t="shared" si="27"/>
        <v>6521584.7599614421</v>
      </c>
      <c r="AJ38" s="156">
        <f t="shared" si="27"/>
        <v>472</v>
      </c>
      <c r="AK38" s="156">
        <f t="shared" si="27"/>
        <v>6540051.2976542441</v>
      </c>
      <c r="AL38" s="156">
        <f t="shared" si="27"/>
        <v>482</v>
      </c>
      <c r="AM38" s="156">
        <f t="shared" si="27"/>
        <v>182923.56769322738</v>
      </c>
      <c r="AN38" s="156">
        <f t="shared" si="27"/>
        <v>10114907.640999997</v>
      </c>
      <c r="AO38" s="157">
        <f t="shared" si="27"/>
        <v>458902</v>
      </c>
      <c r="AP38" s="157">
        <f t="shared" si="27"/>
        <v>363364901.47534752</v>
      </c>
      <c r="AQ38" s="157">
        <f t="shared" si="20"/>
        <v>791.81372379145773</v>
      </c>
      <c r="AR38" s="165"/>
    </row>
    <row r="39" spans="1:44">
      <c r="A39" s="109" t="s">
        <v>368</v>
      </c>
      <c r="B39" s="89"/>
      <c r="C39" s="108"/>
      <c r="D39" s="108"/>
      <c r="E39" s="108"/>
      <c r="F39" s="108"/>
      <c r="G39" s="108"/>
      <c r="H39" s="108"/>
      <c r="I39" s="89"/>
      <c r="J39" s="108"/>
      <c r="K39" s="108"/>
      <c r="L39" s="108"/>
      <c r="M39" s="108"/>
      <c r="N39" s="108"/>
      <c r="O39" s="108"/>
      <c r="P39" s="89"/>
      <c r="Q39" s="108"/>
      <c r="R39" s="108"/>
      <c r="S39" s="108"/>
      <c r="T39" s="108"/>
      <c r="U39" s="108"/>
      <c r="V39" s="108"/>
      <c r="W39" s="89"/>
      <c r="X39" s="89"/>
      <c r="Y39" s="89"/>
      <c r="Z39" s="89"/>
      <c r="AA39" s="89"/>
      <c r="AB39" s="89"/>
      <c r="AC39" s="89"/>
      <c r="AD39"/>
      <c r="AE39" s="164"/>
      <c r="AF39"/>
      <c r="AG39"/>
      <c r="AH39"/>
      <c r="AI39"/>
      <c r="AJ39"/>
      <c r="AK39" s="164"/>
      <c r="AL39" s="164"/>
      <c r="AM39" s="164"/>
      <c r="AN39" s="164"/>
      <c r="AO39"/>
      <c r="AP39" s="164"/>
      <c r="AQ39"/>
    </row>
    <row r="40" spans="1:44">
      <c r="A40" s="3"/>
      <c r="B40" s="89"/>
      <c r="C40" s="108"/>
      <c r="D40" s="108"/>
      <c r="E40" s="108"/>
      <c r="F40" s="108"/>
      <c r="G40" s="108"/>
      <c r="H40" s="108"/>
      <c r="I40" s="89"/>
      <c r="J40" s="108"/>
      <c r="K40" s="108"/>
      <c r="L40" s="108"/>
      <c r="M40" s="108"/>
      <c r="N40" s="108"/>
      <c r="O40" s="108"/>
      <c r="P40" s="89"/>
      <c r="Q40" s="108"/>
      <c r="R40" s="108"/>
      <c r="S40" s="108"/>
      <c r="T40" s="108"/>
      <c r="U40" s="108"/>
      <c r="V40" s="108"/>
      <c r="W40" s="89"/>
      <c r="X40" s="89"/>
      <c r="Y40" s="89"/>
      <c r="Z40" s="89"/>
      <c r="AA40" s="89"/>
      <c r="AB40" s="89"/>
      <c r="AC40" s="89"/>
      <c r="AD40"/>
      <c r="AE40"/>
      <c r="AF40"/>
      <c r="AG40"/>
      <c r="AH40"/>
      <c r="AI40"/>
      <c r="AJ40"/>
      <c r="AK40"/>
      <c r="AL40"/>
      <c r="AM40"/>
      <c r="AN40"/>
      <c r="AO40" s="164"/>
      <c r="AP40" s="164"/>
      <c r="AQ40"/>
    </row>
    <row r="51" spans="9:14">
      <c r="I51" s="7" t="s">
        <v>373</v>
      </c>
    </row>
    <row r="52" spans="9:14" ht="15.75" thickBot="1"/>
    <row r="53" spans="9:14" ht="30.75" thickBot="1">
      <c r="I53" s="276" t="s">
        <v>351</v>
      </c>
      <c r="J53" s="277" t="s">
        <v>371</v>
      </c>
      <c r="K53" s="278" t="s">
        <v>372</v>
      </c>
    </row>
    <row r="54" spans="9:14">
      <c r="I54" t="s">
        <v>4</v>
      </c>
      <c r="J54" s="171">
        <v>2965</v>
      </c>
      <c r="K54" s="171">
        <v>136093952</v>
      </c>
      <c r="N54" s="27"/>
    </row>
    <row r="55" spans="9:14" ht="15.75" thickBot="1">
      <c r="I55" t="s">
        <v>28</v>
      </c>
      <c r="J55" s="171">
        <v>9</v>
      </c>
      <c r="K55" s="171">
        <v>602460</v>
      </c>
    </row>
    <row r="56" spans="9:14" ht="15.75" thickBot="1">
      <c r="I56" s="279" t="s">
        <v>188</v>
      </c>
      <c r="J56" s="280">
        <f>SUM(J54:J55)</f>
        <v>2974</v>
      </c>
      <c r="K56" s="281">
        <f>SUM(K54:K55)</f>
        <v>136696412</v>
      </c>
    </row>
  </sheetData>
  <mergeCells count="36">
    <mergeCell ref="B4:H4"/>
    <mergeCell ref="P4:V4"/>
    <mergeCell ref="B5:B6"/>
    <mergeCell ref="C5:C6"/>
    <mergeCell ref="J5:J6"/>
    <mergeCell ref="Q5:Q6"/>
    <mergeCell ref="D5:H5"/>
    <mergeCell ref="I5:I6"/>
    <mergeCell ref="P5:P6"/>
    <mergeCell ref="R5:V5"/>
    <mergeCell ref="W4:AC4"/>
    <mergeCell ref="W5:W6"/>
    <mergeCell ref="Y5:AC5"/>
    <mergeCell ref="I4:O4"/>
    <mergeCell ref="K5:O5"/>
    <mergeCell ref="X5:X6"/>
    <mergeCell ref="AH4:AI4"/>
    <mergeCell ref="AH5:AH6"/>
    <mergeCell ref="AI5:AI6"/>
    <mergeCell ref="AJ4:AK4"/>
    <mergeCell ref="AJ5:AJ6"/>
    <mergeCell ref="AK5:AK6"/>
    <mergeCell ref="AF4:AG4"/>
    <mergeCell ref="AF5:AF6"/>
    <mergeCell ref="AD4:AE4"/>
    <mergeCell ref="AD5:AD6"/>
    <mergeCell ref="AE5:AE6"/>
    <mergeCell ref="AG5:AG6"/>
    <mergeCell ref="AL4:AM4"/>
    <mergeCell ref="AL5:AL6"/>
    <mergeCell ref="AM5:AM6"/>
    <mergeCell ref="AN4:AN6"/>
    <mergeCell ref="AQ5:AQ6"/>
    <mergeCell ref="AO5:AO6"/>
    <mergeCell ref="AP5:AP6"/>
    <mergeCell ref="AO4:AQ4"/>
  </mergeCells>
  <hyperlinks>
    <hyperlink ref="A1" location="ACCUEIL!A1" display="ACCUEIL"/>
  </hyperlinks>
  <pageMargins left="0.7" right="0.7" top="0.75" bottom="0.75" header="0.3" footer="0.3"/>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sheetPr>
    <tabColor theme="9" tint="-0.249977111117893"/>
  </sheetPr>
  <dimension ref="A1:W55"/>
  <sheetViews>
    <sheetView zoomScale="90" zoomScaleNormal="90" workbookViewId="0"/>
  </sheetViews>
  <sheetFormatPr baseColWidth="10" defaultRowHeight="15"/>
  <cols>
    <col min="1" max="1" width="10.140625" style="25" bestFit="1" customWidth="1"/>
    <col min="2" max="2" width="33" style="25" customWidth="1"/>
    <col min="3" max="3" width="13.5703125" style="25" customWidth="1"/>
    <col min="4" max="4" width="15.7109375" style="25" customWidth="1"/>
    <col min="5" max="5" width="15" style="25" customWidth="1"/>
    <col min="6" max="6" width="15.7109375" style="25" customWidth="1"/>
    <col min="7" max="7" width="15.140625" style="25" customWidth="1"/>
    <col min="8" max="8" width="15.7109375" style="25" customWidth="1"/>
    <col min="9" max="9" width="16.7109375" style="25" customWidth="1"/>
    <col min="10" max="10" width="13.42578125" style="25" customWidth="1"/>
    <col min="11" max="11" width="15.42578125" style="25" hidden="1" customWidth="1"/>
    <col min="12" max="12" width="13.42578125" style="25" hidden="1" customWidth="1"/>
    <col min="13" max="13" width="13.85546875" style="25" customWidth="1"/>
    <col min="14" max="14" width="6" style="25" bestFit="1" customWidth="1"/>
    <col min="15" max="15" width="16.5703125" style="25" customWidth="1"/>
    <col min="16" max="16" width="6" style="25" bestFit="1" customWidth="1"/>
    <col min="17" max="17" width="16.42578125" style="25" bestFit="1" customWidth="1"/>
    <col min="18" max="18" width="13.42578125" style="25" bestFit="1" customWidth="1"/>
    <col min="19" max="20" width="11.42578125" style="25"/>
    <col min="21" max="21" width="14.85546875" style="25" bestFit="1" customWidth="1"/>
    <col min="22" max="22" width="14.7109375" style="25" customWidth="1"/>
    <col min="23" max="23" width="14.85546875" style="25" bestFit="1" customWidth="1"/>
    <col min="24" max="16384" width="11.42578125" style="25"/>
  </cols>
  <sheetData>
    <row r="1" spans="1:23" ht="15.75" thickBot="1">
      <c r="A1" s="28" t="s">
        <v>206</v>
      </c>
    </row>
    <row r="2" spans="1:23">
      <c r="C2" s="236"/>
      <c r="E2" s="236"/>
    </row>
    <row r="3" spans="1:23">
      <c r="B3" s="73"/>
      <c r="C3" s="376" t="s">
        <v>193</v>
      </c>
      <c r="D3" s="376"/>
      <c r="E3" s="368" t="s">
        <v>194</v>
      </c>
      <c r="F3" s="370"/>
      <c r="G3" s="377" t="s">
        <v>235</v>
      </c>
      <c r="H3" s="377"/>
      <c r="I3" s="378" t="s">
        <v>236</v>
      </c>
      <c r="J3" s="379"/>
      <c r="K3" s="368" t="s">
        <v>198</v>
      </c>
      <c r="L3" s="370"/>
      <c r="M3" s="368" t="s">
        <v>188</v>
      </c>
      <c r="N3" s="369"/>
      <c r="O3" s="369"/>
      <c r="P3" s="369"/>
      <c r="Q3" s="370"/>
      <c r="S3" s="46" t="s">
        <v>227</v>
      </c>
      <c r="U3" s="26"/>
    </row>
    <row r="4" spans="1:23" ht="29.25" customHeight="1">
      <c r="B4" s="73"/>
      <c r="C4" s="74" t="s">
        <v>159</v>
      </c>
      <c r="D4" s="74" t="s">
        <v>2</v>
      </c>
      <c r="E4" s="74" t="s">
        <v>159</v>
      </c>
      <c r="F4" s="74" t="s">
        <v>2</v>
      </c>
      <c r="G4" s="75" t="s">
        <v>159</v>
      </c>
      <c r="H4" s="75" t="s">
        <v>2</v>
      </c>
      <c r="I4" s="75" t="s">
        <v>159</v>
      </c>
      <c r="J4" s="75" t="s">
        <v>2</v>
      </c>
      <c r="K4" s="74" t="s">
        <v>159</v>
      </c>
      <c r="L4" s="74" t="s">
        <v>2</v>
      </c>
      <c r="M4" s="74" t="s">
        <v>159</v>
      </c>
      <c r="N4" s="76" t="s">
        <v>187</v>
      </c>
      <c r="O4" s="74" t="s">
        <v>2</v>
      </c>
      <c r="P4" s="77" t="s">
        <v>187</v>
      </c>
      <c r="Q4" s="77" t="s">
        <v>177</v>
      </c>
      <c r="W4" s="27"/>
    </row>
    <row r="5" spans="1:23">
      <c r="B5" s="78" t="s">
        <v>246</v>
      </c>
      <c r="C5" s="79"/>
      <c r="D5" s="80"/>
      <c r="E5" s="79"/>
      <c r="F5" s="80"/>
      <c r="G5" s="81"/>
      <c r="H5" s="82"/>
      <c r="I5" s="81"/>
      <c r="J5" s="82"/>
      <c r="K5" s="82"/>
      <c r="L5" s="82"/>
      <c r="M5" s="82"/>
      <c r="N5" s="82"/>
      <c r="O5" s="82"/>
      <c r="P5" s="82"/>
      <c r="Q5" s="82"/>
      <c r="W5" s="222" t="str">
        <f>"n = "&amp;TEXT(M20,"000 000")</f>
        <v>n = 983 703</v>
      </c>
    </row>
    <row r="6" spans="1:23">
      <c r="B6" s="78" t="s">
        <v>245</v>
      </c>
      <c r="C6" s="120">
        <v>65</v>
      </c>
      <c r="D6" s="120">
        <v>9753.2100000000009</v>
      </c>
      <c r="E6" s="120">
        <f>G6+I6</f>
        <v>63</v>
      </c>
      <c r="F6" s="141">
        <f t="shared" ref="E6:F10" si="0">H6+J6</f>
        <v>27648.02</v>
      </c>
      <c r="G6" s="142">
        <v>45</v>
      </c>
      <c r="H6" s="142">
        <v>8383.9500000000007</v>
      </c>
      <c r="I6" s="142">
        <v>18</v>
      </c>
      <c r="J6" s="142">
        <v>19264.07</v>
      </c>
      <c r="K6" s="79"/>
      <c r="L6" s="143"/>
      <c r="M6" s="120">
        <f>C6+E6+K6</f>
        <v>128</v>
      </c>
      <c r="N6" s="144">
        <f>RANK(M6,$M$5:$M$19)</f>
        <v>10</v>
      </c>
      <c r="O6" s="120">
        <f>D6+F6+L6</f>
        <v>37401.230000000003</v>
      </c>
      <c r="P6" s="144">
        <f>RANK(O6,$O$5:O$19)</f>
        <v>10</v>
      </c>
      <c r="Q6" s="120">
        <f>O6/M6</f>
        <v>292.19710937500003</v>
      </c>
    </row>
    <row r="7" spans="1:23">
      <c r="B7" s="78" t="s">
        <v>247</v>
      </c>
      <c r="C7" s="120">
        <v>4206</v>
      </c>
      <c r="D7" s="120">
        <v>1248607.6100000003</v>
      </c>
      <c r="E7" s="120">
        <f t="shared" si="0"/>
        <v>2084</v>
      </c>
      <c r="F7" s="141">
        <f>H7+J7</f>
        <v>1018941.8200000001</v>
      </c>
      <c r="G7" s="142">
        <v>1448</v>
      </c>
      <c r="H7" s="142">
        <v>814218.87000000011</v>
      </c>
      <c r="I7" s="142">
        <v>636</v>
      </c>
      <c r="J7" s="142">
        <v>204722.94999999995</v>
      </c>
      <c r="K7" s="79"/>
      <c r="L7" s="143"/>
      <c r="M7" s="120">
        <f>C7+E7+K7</f>
        <v>6290</v>
      </c>
      <c r="N7" s="144">
        <f>RANK(M7,$M$5:$M$19)</f>
        <v>6</v>
      </c>
      <c r="O7" s="120">
        <f t="shared" ref="O7:O19" si="1">D7+F7+L7</f>
        <v>2267549.4300000006</v>
      </c>
      <c r="P7" s="144">
        <f>RANK(O7,$O$5:O$19)</f>
        <v>6</v>
      </c>
      <c r="Q7" s="120">
        <f t="shared" ref="Q7:Q19" si="2">O7/M7</f>
        <v>360.50070429252793</v>
      </c>
      <c r="W7" s="27"/>
    </row>
    <row r="8" spans="1:23">
      <c r="B8" s="139" t="s">
        <v>274</v>
      </c>
      <c r="C8" s="79"/>
      <c r="D8" s="80"/>
      <c r="E8" s="79"/>
      <c r="F8" s="80"/>
      <c r="G8" s="81"/>
      <c r="H8" s="81"/>
      <c r="I8" s="81"/>
      <c r="J8" s="81"/>
      <c r="K8" s="82"/>
      <c r="L8" s="82"/>
      <c r="M8" s="82"/>
      <c r="N8" s="82"/>
      <c r="O8" s="81"/>
      <c r="P8" s="82"/>
      <c r="Q8" s="82"/>
      <c r="W8" s="27"/>
    </row>
    <row r="9" spans="1:23">
      <c r="B9" s="139" t="s">
        <v>273</v>
      </c>
      <c r="C9" s="151">
        <v>233906</v>
      </c>
      <c r="D9" s="151">
        <v>260685121.83100006</v>
      </c>
      <c r="E9" s="120">
        <f>G9+I9</f>
        <v>414525</v>
      </c>
      <c r="F9" s="141">
        <f t="shared" si="0"/>
        <v>188746087.92767528</v>
      </c>
      <c r="G9" s="152">
        <v>414525</v>
      </c>
      <c r="H9" s="152">
        <v>188746087.92767528</v>
      </c>
      <c r="I9" s="81"/>
      <c r="J9" s="81"/>
      <c r="K9" s="79"/>
      <c r="L9" s="143"/>
      <c r="M9" s="120">
        <f>C9+E9+K9</f>
        <v>648431</v>
      </c>
      <c r="N9" s="144">
        <f>RANK(M9,$M$5:$M$19)</f>
        <v>1</v>
      </c>
      <c r="O9" s="120">
        <f t="shared" si="1"/>
        <v>449431209.75867534</v>
      </c>
      <c r="P9" s="144">
        <f>RANK(O9,$O$5:O$19)</f>
        <v>1</v>
      </c>
      <c r="Q9" s="120">
        <f t="shared" si="2"/>
        <v>693.10568087996307</v>
      </c>
      <c r="W9" s="27"/>
    </row>
    <row r="10" spans="1:23">
      <c r="A10" s="150"/>
      <c r="B10" s="78" t="s">
        <v>248</v>
      </c>
      <c r="C10" s="151">
        <f>176835-U28</f>
        <v>173861</v>
      </c>
      <c r="D10" s="151">
        <f>152664985.91-V28</f>
        <v>15968573.909999996</v>
      </c>
      <c r="E10" s="120">
        <f t="shared" si="0"/>
        <v>76337</v>
      </c>
      <c r="F10" s="141">
        <f t="shared" si="0"/>
        <v>20070240.649999999</v>
      </c>
      <c r="G10" s="152">
        <v>49570</v>
      </c>
      <c r="H10" s="152">
        <v>14704764.499999998</v>
      </c>
      <c r="I10" s="142">
        <v>26767</v>
      </c>
      <c r="J10" s="142">
        <v>5365476.1500000022</v>
      </c>
      <c r="K10" s="79"/>
      <c r="L10" s="143"/>
      <c r="M10" s="120">
        <f>C10+E10+K10</f>
        <v>250198</v>
      </c>
      <c r="N10" s="144">
        <f>RANK(M10,$M$5:$M$19)</f>
        <v>2</v>
      </c>
      <c r="O10" s="120">
        <f>D10+F10+L10</f>
        <v>36038814.559999995</v>
      </c>
      <c r="P10" s="144">
        <f>RANK(O10,$O$5:O$19)</f>
        <v>3</v>
      </c>
      <c r="Q10" s="120">
        <f>O10/M10</f>
        <v>144.04117762731914</v>
      </c>
      <c r="W10" s="27"/>
    </row>
    <row r="11" spans="1:23">
      <c r="A11" s="150"/>
      <c r="B11" s="78" t="s">
        <v>249</v>
      </c>
      <c r="C11" s="79"/>
      <c r="D11" s="79"/>
      <c r="E11" s="79"/>
      <c r="F11" s="143"/>
      <c r="G11" s="81"/>
      <c r="H11" s="153"/>
      <c r="I11" s="81"/>
      <c r="J11" s="81"/>
      <c r="K11" s="79"/>
      <c r="L11" s="79"/>
      <c r="M11" s="145"/>
      <c r="N11" s="145"/>
      <c r="O11" s="81"/>
      <c r="P11" s="145"/>
      <c r="Q11" s="145"/>
    </row>
    <row r="12" spans="1:23">
      <c r="B12" s="78" t="s">
        <v>243</v>
      </c>
      <c r="C12" s="120">
        <v>111</v>
      </c>
      <c r="D12" s="120">
        <v>24383.17</v>
      </c>
      <c r="E12" s="120">
        <f t="shared" ref="E12:F16" si="3">G12+I12</f>
        <v>160</v>
      </c>
      <c r="F12" s="141">
        <f t="shared" si="3"/>
        <v>54354.009999999995</v>
      </c>
      <c r="G12" s="142">
        <v>90</v>
      </c>
      <c r="H12" s="142">
        <v>12603.299999999997</v>
      </c>
      <c r="I12" s="142">
        <v>70</v>
      </c>
      <c r="J12" s="142">
        <v>41750.71</v>
      </c>
      <c r="K12" s="80"/>
      <c r="L12" s="143"/>
      <c r="M12" s="120">
        <f t="shared" ref="M12:M19" si="4">C12+E12+K12</f>
        <v>271</v>
      </c>
      <c r="N12" s="144">
        <f>RANK(M12,$M$5:$M$19)</f>
        <v>9</v>
      </c>
      <c r="O12" s="120">
        <f t="shared" si="1"/>
        <v>78737.179999999993</v>
      </c>
      <c r="P12" s="144">
        <f>RANK(O12,$O$5:O$19)</f>
        <v>9</v>
      </c>
      <c r="Q12" s="120">
        <f t="shared" si="2"/>
        <v>290.54309963099627</v>
      </c>
    </row>
    <row r="13" spans="1:23">
      <c r="B13" s="78" t="s">
        <v>244</v>
      </c>
      <c r="C13" s="120">
        <v>12944</v>
      </c>
      <c r="D13" s="120">
        <v>3698770.2800000003</v>
      </c>
      <c r="E13" s="120">
        <f t="shared" si="3"/>
        <v>24139</v>
      </c>
      <c r="F13" s="141">
        <f t="shared" si="3"/>
        <v>8765440.7800000012</v>
      </c>
      <c r="G13" s="142">
        <v>17036</v>
      </c>
      <c r="H13" s="142">
        <v>5851798.6699999999</v>
      </c>
      <c r="I13" s="142">
        <v>7103</v>
      </c>
      <c r="J13" s="142">
        <v>2913642.1100000008</v>
      </c>
      <c r="K13" s="79"/>
      <c r="L13" s="143"/>
      <c r="M13" s="120">
        <f t="shared" si="4"/>
        <v>37083</v>
      </c>
      <c r="N13" s="144">
        <f>RANK(M13,$M$5:$M$19)</f>
        <v>3</v>
      </c>
      <c r="O13" s="120">
        <f t="shared" si="1"/>
        <v>12464211.060000002</v>
      </c>
      <c r="P13" s="144">
        <f>RANK(O13,$O$5:O$19)</f>
        <v>4</v>
      </c>
      <c r="Q13" s="120">
        <f t="shared" si="2"/>
        <v>336.11657794676813</v>
      </c>
    </row>
    <row r="14" spans="1:23">
      <c r="B14" s="78" t="s">
        <v>197</v>
      </c>
      <c r="C14" s="120">
        <v>337</v>
      </c>
      <c r="D14" s="120">
        <v>39259.870000000003</v>
      </c>
      <c r="E14" s="120">
        <f t="shared" si="3"/>
        <v>435</v>
      </c>
      <c r="F14" s="141">
        <f t="shared" si="3"/>
        <v>72816.040000000008</v>
      </c>
      <c r="G14" s="142">
        <v>257</v>
      </c>
      <c r="H14" s="142">
        <v>24843.17</v>
      </c>
      <c r="I14" s="142">
        <v>178</v>
      </c>
      <c r="J14" s="142">
        <v>47972.87</v>
      </c>
      <c r="K14" s="80"/>
      <c r="L14" s="143"/>
      <c r="M14" s="120">
        <f t="shared" si="4"/>
        <v>772</v>
      </c>
      <c r="N14" s="144">
        <f>RANK(M14,$M$5:$M$19)</f>
        <v>8</v>
      </c>
      <c r="O14" s="120">
        <f t="shared" si="1"/>
        <v>112075.91</v>
      </c>
      <c r="P14" s="144">
        <f>RANK(O14,$O$5:O$19)</f>
        <v>8</v>
      </c>
      <c r="Q14" s="120">
        <f t="shared" si="2"/>
        <v>145.17604922279793</v>
      </c>
      <c r="W14" s="27"/>
    </row>
    <row r="15" spans="1:23">
      <c r="B15" s="139" t="s">
        <v>370</v>
      </c>
      <c r="C15" s="120">
        <v>10832</v>
      </c>
      <c r="D15" s="120">
        <v>2674587.3599999994</v>
      </c>
      <c r="E15" s="120">
        <f t="shared" si="3"/>
        <v>6635</v>
      </c>
      <c r="F15" s="141">
        <f t="shared" si="3"/>
        <v>3029017.6399999997</v>
      </c>
      <c r="G15" s="142">
        <v>4035</v>
      </c>
      <c r="H15" s="142">
        <v>1732765.27</v>
      </c>
      <c r="I15" s="142">
        <v>2600</v>
      </c>
      <c r="J15" s="142">
        <v>1296252.3699999996</v>
      </c>
      <c r="K15" s="79"/>
      <c r="L15" s="143"/>
      <c r="M15" s="120">
        <f t="shared" si="4"/>
        <v>17467</v>
      </c>
      <c r="N15" s="144">
        <f>RANK(M15,$M$5:$M$19)</f>
        <v>5</v>
      </c>
      <c r="O15" s="120">
        <f t="shared" si="1"/>
        <v>5703604.9999999991</v>
      </c>
      <c r="P15" s="144">
        <f>RANK(O15,$O$5:O$19)</f>
        <v>5</v>
      </c>
      <c r="Q15" s="120">
        <f t="shared" si="2"/>
        <v>326.53603938856122</v>
      </c>
    </row>
    <row r="16" spans="1:23">
      <c r="B16" s="78" t="s">
        <v>196</v>
      </c>
      <c r="C16" s="120">
        <v>478</v>
      </c>
      <c r="D16" s="120">
        <v>148882.77000000002</v>
      </c>
      <c r="E16" s="120">
        <f t="shared" si="3"/>
        <v>423</v>
      </c>
      <c r="F16" s="141">
        <f t="shared" si="3"/>
        <v>495082.19000000006</v>
      </c>
      <c r="G16" s="142">
        <v>260</v>
      </c>
      <c r="H16" s="142">
        <v>161312.85</v>
      </c>
      <c r="I16" s="142">
        <v>163</v>
      </c>
      <c r="J16" s="142">
        <v>333769.34000000003</v>
      </c>
      <c r="K16" s="80"/>
      <c r="L16" s="143"/>
      <c r="M16" s="120">
        <f t="shared" si="4"/>
        <v>901</v>
      </c>
      <c r="N16" s="144">
        <f>RANK(M16,$M$5:$M$19)</f>
        <v>7</v>
      </c>
      <c r="O16" s="120">
        <f t="shared" si="1"/>
        <v>643964.96000000008</v>
      </c>
      <c r="P16" s="144">
        <f>RANK(O16,$O$5:O$19)</f>
        <v>7</v>
      </c>
      <c r="Q16" s="120">
        <f t="shared" si="2"/>
        <v>714.72248612652618</v>
      </c>
    </row>
    <row r="17" spans="1:22">
      <c r="B17" s="78" t="s">
        <v>250</v>
      </c>
      <c r="C17" s="79"/>
      <c r="D17" s="79"/>
      <c r="E17" s="79"/>
      <c r="F17" s="79"/>
      <c r="G17" s="79"/>
      <c r="H17" s="79"/>
      <c r="I17" s="79"/>
      <c r="J17" s="79"/>
      <c r="K17" s="79"/>
      <c r="L17" s="79"/>
      <c r="M17" s="79"/>
      <c r="N17" s="79"/>
      <c r="O17" s="79"/>
      <c r="P17" s="79"/>
      <c r="Q17" s="79"/>
    </row>
    <row r="18" spans="1:22">
      <c r="B18" s="78" t="s">
        <v>233</v>
      </c>
      <c r="C18" s="120"/>
      <c r="D18" s="120"/>
      <c r="E18" s="79"/>
      <c r="F18" s="143"/>
      <c r="G18" s="81"/>
      <c r="H18" s="81"/>
      <c r="I18" s="81"/>
      <c r="J18" s="81"/>
      <c r="K18" s="79"/>
      <c r="L18" s="143"/>
      <c r="M18" s="120">
        <f t="shared" si="4"/>
        <v>0</v>
      </c>
      <c r="N18" s="144">
        <f>RANK(M18,$M$5:$M$19)</f>
        <v>11</v>
      </c>
      <c r="O18" s="120">
        <f t="shared" si="1"/>
        <v>0</v>
      </c>
      <c r="P18" s="144">
        <f>RANK(O18,$O$5:O$19)</f>
        <v>11</v>
      </c>
      <c r="Q18" s="120" t="e">
        <f>O18/M18</f>
        <v>#DIV/0!</v>
      </c>
      <c r="S18" s="46"/>
      <c r="V18" s="27"/>
    </row>
    <row r="19" spans="1:22">
      <c r="B19" s="78" t="s">
        <v>192</v>
      </c>
      <c r="C19" s="120">
        <v>22162</v>
      </c>
      <c r="D19" s="120">
        <v>88981870.840000004</v>
      </c>
      <c r="E19" s="79"/>
      <c r="F19" s="143"/>
      <c r="G19" s="81"/>
      <c r="H19" s="81"/>
      <c r="I19" s="81"/>
      <c r="J19" s="81"/>
      <c r="K19" s="79"/>
      <c r="L19" s="143"/>
      <c r="M19" s="120">
        <f t="shared" si="4"/>
        <v>22162</v>
      </c>
      <c r="N19" s="144">
        <f>RANK(M19,$M$5:$M$19)</f>
        <v>4</v>
      </c>
      <c r="O19" s="120">
        <f t="shared" si="1"/>
        <v>88981870.840000004</v>
      </c>
      <c r="P19" s="144">
        <f>RANK(O19,$O$5:O$19)</f>
        <v>2</v>
      </c>
      <c r="Q19" s="120">
        <f t="shared" si="2"/>
        <v>4015.0650139879076</v>
      </c>
    </row>
    <row r="20" spans="1:22">
      <c r="B20" s="83" t="s">
        <v>188</v>
      </c>
      <c r="C20" s="146">
        <f>SUM(C5:C19)</f>
        <v>458902</v>
      </c>
      <c r="D20" s="146">
        <f t="shared" ref="D20:L20" si="5">SUM(D5:D19)</f>
        <v>373479810.85100007</v>
      </c>
      <c r="E20" s="146">
        <f t="shared" si="5"/>
        <v>524801</v>
      </c>
      <c r="F20" s="146">
        <f t="shared" si="5"/>
        <v>222279629.07767525</v>
      </c>
      <c r="G20" s="142">
        <f t="shared" si="5"/>
        <v>487266</v>
      </c>
      <c r="H20" s="142">
        <f t="shared" si="5"/>
        <v>212056778.50767526</v>
      </c>
      <c r="I20" s="142">
        <f t="shared" si="5"/>
        <v>37535</v>
      </c>
      <c r="J20" s="142">
        <f t="shared" si="5"/>
        <v>10222850.57</v>
      </c>
      <c r="K20" s="146">
        <f t="shared" si="5"/>
        <v>0</v>
      </c>
      <c r="L20" s="147">
        <f t="shared" si="5"/>
        <v>0</v>
      </c>
      <c r="M20" s="146">
        <f>SUM(M5:M19)</f>
        <v>983703</v>
      </c>
      <c r="N20" s="148"/>
      <c r="O20" s="146">
        <f>SUM(O5:O19)</f>
        <v>595759439.92867541</v>
      </c>
      <c r="P20" s="148"/>
      <c r="Q20" s="146">
        <f>O20/M20</f>
        <v>605.6293819665849</v>
      </c>
    </row>
    <row r="21" spans="1:22">
      <c r="B21" s="241" t="s">
        <v>353</v>
      </c>
      <c r="C21" s="79"/>
      <c r="D21" s="242">
        <v>10114907.640999997</v>
      </c>
      <c r="E21" s="79"/>
      <c r="F21" s="141">
        <f>H21+J21</f>
        <v>10699023.29767525</v>
      </c>
      <c r="G21" s="79"/>
      <c r="H21" s="242">
        <v>10699023.29767525</v>
      </c>
      <c r="I21" s="81"/>
      <c r="J21" s="81"/>
      <c r="K21" s="237"/>
      <c r="L21" s="239"/>
      <c r="M21" s="237"/>
      <c r="N21" s="240"/>
      <c r="O21" s="243">
        <f>F21+D21</f>
        <v>20813930.938675247</v>
      </c>
      <c r="P21" s="240"/>
      <c r="Q21" s="238"/>
    </row>
    <row r="22" spans="1:22">
      <c r="B22" s="78" t="s">
        <v>177</v>
      </c>
      <c r="C22" s="371">
        <f>(D20-D21)/C20</f>
        <v>791.81372757146426</v>
      </c>
      <c r="D22" s="372"/>
      <c r="E22" s="371">
        <f>(F20-F21)/E20</f>
        <v>403.16349583937529</v>
      </c>
      <c r="F22" s="372"/>
      <c r="G22" s="373">
        <f>(H20-H21)/G20</f>
        <v>413.23990430278332</v>
      </c>
      <c r="H22" s="374"/>
      <c r="I22" s="373">
        <f>J20/I20</f>
        <v>272.35515039296655</v>
      </c>
      <c r="J22" s="374"/>
      <c r="K22" s="371" t="e">
        <f>L20/K20</f>
        <v>#DIV/0!</v>
      </c>
      <c r="L22" s="372"/>
      <c r="M22" s="371">
        <f>(O20-O21)/M20</f>
        <v>584.47062679487624</v>
      </c>
      <c r="N22" s="375"/>
      <c r="O22" s="375"/>
      <c r="P22" s="375"/>
      <c r="Q22" s="372"/>
    </row>
    <row r="23" spans="1:22" ht="15.75" thickBot="1">
      <c r="B23" s="84"/>
      <c r="C23" s="73"/>
      <c r="D23" s="73"/>
      <c r="E23" s="73"/>
      <c r="F23" s="73"/>
      <c r="G23" s="73"/>
      <c r="H23" s="73"/>
      <c r="I23" s="73"/>
      <c r="J23" s="73"/>
      <c r="K23" s="84"/>
      <c r="L23" s="84"/>
      <c r="M23" s="73"/>
      <c r="N23" s="73"/>
      <c r="O23" s="73"/>
      <c r="P23" s="73"/>
      <c r="Q23" s="73"/>
      <c r="T23" s="7" t="s">
        <v>373</v>
      </c>
    </row>
    <row r="24" spans="1:22" ht="15.75" thickBot="1">
      <c r="A24" s="57"/>
      <c r="B24" s="286" t="s">
        <v>199</v>
      </c>
      <c r="C24" s="288" t="s">
        <v>234</v>
      </c>
      <c r="D24" s="286" t="s">
        <v>199</v>
      </c>
      <c r="E24" s="287" t="s">
        <v>160</v>
      </c>
      <c r="F24" s="297" t="s">
        <v>339</v>
      </c>
      <c r="G24" s="298" t="s">
        <v>338</v>
      </c>
      <c r="I24" s="57"/>
      <c r="J24" s="57"/>
      <c r="K24" s="57"/>
      <c r="L24" s="57"/>
      <c r="M24" s="57"/>
      <c r="N24" s="57"/>
      <c r="O24" s="57"/>
      <c r="P24" s="57"/>
      <c r="Q24" s="57"/>
    </row>
    <row r="25" spans="1:22" ht="30.75" thickBot="1">
      <c r="A25" s="57">
        <v>1</v>
      </c>
      <c r="B25" s="289" t="str">
        <f>INDEX($B$5:$P$19,MATCH(A25,$N$5:$N$19,0),1)</f>
        <v>CNSE - coordination</v>
      </c>
      <c r="C25" s="295">
        <f>INDEX($B$5:$P$19,MATCH(A25,$N$5:$N$19,0),12)</f>
        <v>648431</v>
      </c>
      <c r="D25" s="289" t="str">
        <f>INDEX($B$5:$P$19,MATCH(A25,$P$5:$P$19,0),1)</f>
        <v>CNSE - coordination</v>
      </c>
      <c r="E25" s="290">
        <f>INDEX($B$5:$P$19,MATCH(A25,$P$5:$P$19,0),14)</f>
        <v>449431209.75867534</v>
      </c>
      <c r="F25" s="290">
        <f t="shared" ref="F25:F30" si="6">IF(D25=B9,$O$21,0)</f>
        <v>20813930.938675247</v>
      </c>
      <c r="G25" s="291">
        <f>E25-F25</f>
        <v>428617278.82000011</v>
      </c>
      <c r="I25" s="57"/>
      <c r="J25" s="57"/>
      <c r="K25" s="57"/>
      <c r="L25" s="57"/>
      <c r="M25" s="57"/>
      <c r="N25" s="57"/>
      <c r="O25" s="57"/>
      <c r="P25" s="57"/>
      <c r="Q25" s="57"/>
      <c r="T25" s="276" t="s">
        <v>351</v>
      </c>
      <c r="U25" s="277" t="s">
        <v>371</v>
      </c>
      <c r="V25" s="278" t="s">
        <v>372</v>
      </c>
    </row>
    <row r="26" spans="1:22">
      <c r="A26" s="57">
        <v>2</v>
      </c>
      <c r="B26" s="289" t="str">
        <f>INDEX($B$5:$P$19,MATCH(A26,$N$5:$N$19,0),1)</f>
        <v>CNSE (Régime général)</v>
      </c>
      <c r="C26" s="295">
        <f>INDEX($B$5:$P$19,MATCH(A26,$N$5:$N$19,0),12)</f>
        <v>250198</v>
      </c>
      <c r="D26" s="289" t="str">
        <f>INDEX($B$5:$P$19,MATCH(A26,$P$5:$P$19,0),1)</f>
        <v>Conventions transfrontalières</v>
      </c>
      <c r="E26" s="290">
        <f t="shared" ref="E26:E29" si="7">INDEX($B$5:$P$19,MATCH(A26,$P$5:$P$19,0),14)</f>
        <v>88981870.840000004</v>
      </c>
      <c r="F26" s="290">
        <f t="shared" si="6"/>
        <v>0</v>
      </c>
      <c r="G26" s="291">
        <f t="shared" ref="G26:G30" si="8">E26-F26</f>
        <v>88981870.840000004</v>
      </c>
      <c r="I26" s="57"/>
      <c r="J26" s="57"/>
      <c r="K26" s="57"/>
      <c r="L26" s="57"/>
      <c r="M26" s="57"/>
      <c r="N26" s="57"/>
      <c r="O26" s="85"/>
      <c r="P26" s="57"/>
      <c r="Q26" s="85"/>
      <c r="T26" t="s">
        <v>4</v>
      </c>
      <c r="U26" s="171">
        <v>2965</v>
      </c>
      <c r="V26" s="171">
        <v>136093952</v>
      </c>
    </row>
    <row r="27" spans="1:22" ht="15.75" thickBot="1">
      <c r="A27" s="57">
        <v>3</v>
      </c>
      <c r="B27" s="289" t="str">
        <f>INDEX($B$5:$P$19,MATCH(A27,$N$5:$N$19,0),1)</f>
        <v>MGEN (Fonctionnaires)</v>
      </c>
      <c r="C27" s="295">
        <f>INDEX($B$5:$P$19,MATCH(A27,$N$5:$N$19,0),12)</f>
        <v>37083</v>
      </c>
      <c r="D27" s="289" t="str">
        <f>INDEX($B$5:$P$19,MATCH(A27,$P$5:$P$19,0),1)</f>
        <v>CNSE (Régime général)</v>
      </c>
      <c r="E27" s="290">
        <f t="shared" si="7"/>
        <v>36038814.559999995</v>
      </c>
      <c r="F27" s="290">
        <f t="shared" si="6"/>
        <v>0</v>
      </c>
      <c r="G27" s="291">
        <f t="shared" si="8"/>
        <v>36038814.559999995</v>
      </c>
      <c r="I27" s="57"/>
      <c r="J27" s="57"/>
      <c r="K27" s="57"/>
      <c r="L27" s="57"/>
      <c r="M27" s="233"/>
      <c r="N27" s="57"/>
      <c r="O27" s="57"/>
      <c r="P27" s="57"/>
      <c r="Q27" s="57"/>
      <c r="T27" t="s">
        <v>28</v>
      </c>
      <c r="U27" s="171">
        <v>9</v>
      </c>
      <c r="V27" s="171">
        <v>602460</v>
      </c>
    </row>
    <row r="28" spans="1:22" ht="15.75" thickBot="1">
      <c r="A28" s="57">
        <v>4</v>
      </c>
      <c r="B28" s="289" t="str">
        <f>INDEX($B$5:$P$19,MATCH(A28,$N$5:$N$19,0),1)</f>
        <v>Conventions transfrontalières</v>
      </c>
      <c r="C28" s="295">
        <f t="shared" ref="C28:C29" si="9">INDEX($B$5:$P$19,MATCH(A28,$N$5:$N$19,0),12)</f>
        <v>22162</v>
      </c>
      <c r="D28" s="289" t="str">
        <f>INDEX($B$5:$P$19,MATCH(A28,$P$5:$P$19,0),1)</f>
        <v>MGEN (Fonctionnaires)</v>
      </c>
      <c r="E28" s="290">
        <f>INDEX($B$5:$P$19,MATCH(A28,$P$5:$P$19,0),14)</f>
        <v>12464211.060000002</v>
      </c>
      <c r="F28" s="290">
        <f t="shared" si="6"/>
        <v>0</v>
      </c>
      <c r="G28" s="291">
        <f t="shared" si="8"/>
        <v>12464211.060000002</v>
      </c>
      <c r="I28" s="57"/>
      <c r="J28" s="57"/>
      <c r="K28" s="57"/>
      <c r="L28" s="57"/>
      <c r="M28" s="57"/>
      <c r="N28" s="57"/>
      <c r="O28" s="57"/>
      <c r="P28" s="57"/>
      <c r="Q28" s="57"/>
      <c r="T28" s="279" t="s">
        <v>188</v>
      </c>
      <c r="U28" s="280">
        <f>SUM(U26:U27)</f>
        <v>2974</v>
      </c>
      <c r="V28" s="281">
        <f>SUM(V26:V27)</f>
        <v>136696412</v>
      </c>
    </row>
    <row r="29" spans="1:22">
      <c r="A29" s="57">
        <v>5</v>
      </c>
      <c r="B29" s="289" t="str">
        <f>INDEX($B$5:$P$19,MATCH(A29,$N$5:$N$19,0),1)</f>
        <v>Sécurité sociale des indépendants (ex-RSI)</v>
      </c>
      <c r="C29" s="295">
        <f t="shared" si="9"/>
        <v>17467</v>
      </c>
      <c r="D29" s="289" t="str">
        <f>INDEX($B$5:$P$19,MATCH(A29,$P$5:$P$19,0),1)</f>
        <v>Sécurité sociale des indépendants (ex-RSI)</v>
      </c>
      <c r="E29" s="290">
        <f t="shared" si="7"/>
        <v>5703604.9999999991</v>
      </c>
      <c r="F29" s="290">
        <f t="shared" si="6"/>
        <v>0</v>
      </c>
      <c r="G29" s="291">
        <f t="shared" si="8"/>
        <v>5703604.9999999991</v>
      </c>
      <c r="I29" s="57"/>
      <c r="J29" s="57"/>
      <c r="K29" s="57"/>
      <c r="L29" s="57"/>
      <c r="M29" s="57"/>
      <c r="N29" s="57"/>
      <c r="O29" s="57"/>
      <c r="P29" s="57"/>
      <c r="Q29" s="57"/>
    </row>
    <row r="30" spans="1:22" ht="15.75" thickBot="1">
      <c r="A30" s="57">
        <v>6</v>
      </c>
      <c r="B30" s="292" t="s">
        <v>200</v>
      </c>
      <c r="C30" s="296">
        <f>M20-C25-C26-C27-C28-C29</f>
        <v>8362</v>
      </c>
      <c r="D30" s="292" t="s">
        <v>200</v>
      </c>
      <c r="E30" s="293">
        <f>O20-E25-E26-E27-E28-E29</f>
        <v>3139728.7100000763</v>
      </c>
      <c r="F30" s="293">
        <f t="shared" si="6"/>
        <v>0</v>
      </c>
      <c r="G30" s="294">
        <f t="shared" si="8"/>
        <v>3139728.7100000763</v>
      </c>
      <c r="I30" s="57"/>
      <c r="J30" s="57"/>
      <c r="K30" s="57"/>
      <c r="L30" s="57"/>
      <c r="M30" s="57"/>
      <c r="N30" s="57"/>
      <c r="O30" s="57"/>
      <c r="P30" s="57"/>
      <c r="Q30" s="57"/>
    </row>
    <row r="31" spans="1:22">
      <c r="A31" s="57"/>
      <c r="B31" s="57"/>
      <c r="C31" s="57"/>
      <c r="D31" s="57"/>
      <c r="E31" s="57"/>
      <c r="F31" s="57"/>
      <c r="G31" s="57"/>
      <c r="H31" s="57"/>
      <c r="I31" s="57"/>
      <c r="J31" s="57"/>
      <c r="K31" s="57"/>
      <c r="L31" s="57"/>
      <c r="M31" s="57"/>
      <c r="N31" s="57"/>
      <c r="O31" s="57"/>
      <c r="P31" s="57"/>
      <c r="Q31" s="57"/>
      <c r="T31" s="95"/>
    </row>
    <row r="32" spans="1:22" ht="18.75" customHeight="1">
      <c r="A32" s="57"/>
      <c r="B32" s="140" t="s">
        <v>357</v>
      </c>
      <c r="C32" s="57"/>
      <c r="D32" s="57"/>
      <c r="E32" s="57"/>
      <c r="F32" s="57"/>
      <c r="G32" s="57"/>
      <c r="H32" s="57"/>
      <c r="I32" s="57"/>
      <c r="J32" s="57"/>
      <c r="K32" s="57"/>
      <c r="L32" s="57"/>
      <c r="M32" s="57"/>
      <c r="N32" s="57"/>
      <c r="O32" s="57"/>
      <c r="P32" s="57"/>
      <c r="Q32" s="57"/>
    </row>
    <row r="33" spans="2:22" ht="15.75" thickBot="1">
      <c r="B33" s="57"/>
      <c r="C33" s="57"/>
      <c r="D33" s="57"/>
      <c r="E33" s="57"/>
      <c r="F33" s="57"/>
      <c r="G33" s="57"/>
      <c r="H33" s="57"/>
      <c r="I33" s="57"/>
      <c r="J33" s="57"/>
      <c r="K33" s="85"/>
      <c r="L33" s="85"/>
      <c r="M33" s="57"/>
      <c r="N33" s="57"/>
      <c r="O33" s="57"/>
      <c r="P33" s="57"/>
      <c r="Q33" s="57"/>
    </row>
    <row r="34" spans="2:22" ht="18.75" customHeight="1" thickTop="1" thickBot="1">
      <c r="B34" s="364" t="s">
        <v>351</v>
      </c>
      <c r="C34" s="366" t="s">
        <v>225</v>
      </c>
      <c r="D34" s="366"/>
      <c r="E34" s="366" t="s">
        <v>226</v>
      </c>
      <c r="F34" s="366"/>
      <c r="G34" s="367" t="s">
        <v>188</v>
      </c>
      <c r="H34" s="367"/>
      <c r="I34" s="367"/>
      <c r="J34" s="57"/>
      <c r="K34" s="85"/>
      <c r="L34" s="85"/>
      <c r="M34" s="2" t="s">
        <v>228</v>
      </c>
      <c r="N34" s="57"/>
      <c r="O34" s="57"/>
      <c r="P34" s="57"/>
      <c r="Q34" s="57"/>
    </row>
    <row r="35" spans="2:22" ht="46.5" customHeight="1" thickTop="1" thickBot="1">
      <c r="B35" s="364"/>
      <c r="C35" s="266" t="s">
        <v>159</v>
      </c>
      <c r="D35" s="266" t="s">
        <v>160</v>
      </c>
      <c r="E35" s="266" t="s">
        <v>159</v>
      </c>
      <c r="F35" s="266" t="s">
        <v>160</v>
      </c>
      <c r="G35" s="266" t="s">
        <v>159</v>
      </c>
      <c r="H35" s="266" t="s">
        <v>160</v>
      </c>
      <c r="I35" s="267" t="s">
        <v>369</v>
      </c>
      <c r="J35" s="136"/>
      <c r="K35" s="85"/>
      <c r="L35" s="57"/>
      <c r="M35" s="57"/>
      <c r="N35" s="57"/>
      <c r="O35" s="57"/>
      <c r="P35" s="57"/>
      <c r="Q35" s="57"/>
      <c r="V35" s="27"/>
    </row>
    <row r="36" spans="2:22" ht="18.75" customHeight="1" thickTop="1" thickBot="1">
      <c r="B36" s="264" t="s">
        <v>193</v>
      </c>
      <c r="C36" s="268">
        <f>C20-C9</f>
        <v>224996</v>
      </c>
      <c r="D36" s="268">
        <f>D20-D9</f>
        <v>112794689.02000001</v>
      </c>
      <c r="E36" s="268">
        <f>C9</f>
        <v>233906</v>
      </c>
      <c r="F36" s="268">
        <f>D9</f>
        <v>260685121.83100006</v>
      </c>
      <c r="G36" s="268">
        <f>C36+E36</f>
        <v>458902</v>
      </c>
      <c r="H36" s="268">
        <f>D36+F36</f>
        <v>373479810.85100007</v>
      </c>
      <c r="I36" s="268">
        <f>(H36-H39)/G36</f>
        <v>791.81372757146426</v>
      </c>
      <c r="J36" s="232"/>
      <c r="K36" s="85"/>
      <c r="L36" s="87"/>
      <c r="M36" s="136"/>
      <c r="N36" s="57"/>
      <c r="O36" s="57"/>
      <c r="P36" s="57"/>
      <c r="Q36" s="57"/>
    </row>
    <row r="37" spans="2:22" ht="18.75" customHeight="1" thickTop="1" thickBot="1">
      <c r="B37" s="264" t="s">
        <v>194</v>
      </c>
      <c r="C37" s="268">
        <f>E20-E9</f>
        <v>110276</v>
      </c>
      <c r="D37" s="268">
        <f>F20-F9</f>
        <v>33533541.149999976</v>
      </c>
      <c r="E37" s="268">
        <f>E9</f>
        <v>414525</v>
      </c>
      <c r="F37" s="268">
        <f>F9</f>
        <v>188746087.92767528</v>
      </c>
      <c r="G37" s="268">
        <f>C37+E37</f>
        <v>524801</v>
      </c>
      <c r="H37" s="268">
        <f>D37+F37</f>
        <v>222279629.07767525</v>
      </c>
      <c r="I37" s="268">
        <f>(H37-H40)/G37</f>
        <v>403.16349583937529</v>
      </c>
      <c r="J37" s="232"/>
      <c r="K37" s="88"/>
      <c r="L37" s="57"/>
      <c r="M37" s="57"/>
      <c r="N37" s="57"/>
      <c r="O37" s="57" t="str">
        <f>"Dépenses = "&amp;ROUND((H38-H39-H40)/1000000,2)&amp;" millions d'€"</f>
        <v>Dépenses = 574,95 millions d'€</v>
      </c>
      <c r="P37" s="57"/>
      <c r="Q37" s="57"/>
      <c r="V37" s="27"/>
    </row>
    <row r="38" spans="2:22" ht="18.75" customHeight="1" thickTop="1" thickBot="1">
      <c r="B38" s="265" t="s">
        <v>352</v>
      </c>
      <c r="C38" s="269">
        <f t="shared" ref="C38:H38" si="10">SUM(C36:C37)</f>
        <v>335272</v>
      </c>
      <c r="D38" s="269">
        <f t="shared" si="10"/>
        <v>146328230.16999999</v>
      </c>
      <c r="E38" s="269">
        <f t="shared" si="10"/>
        <v>648431</v>
      </c>
      <c r="F38" s="269">
        <f t="shared" si="10"/>
        <v>449431209.75867534</v>
      </c>
      <c r="G38" s="269">
        <f t="shared" si="10"/>
        <v>983703</v>
      </c>
      <c r="H38" s="269">
        <f t="shared" si="10"/>
        <v>595759439.92867529</v>
      </c>
      <c r="I38" s="269">
        <f>(H38-(H39+H40))/G38</f>
        <v>584.47062679487613</v>
      </c>
      <c r="J38"/>
      <c r="K38"/>
      <c r="L38"/>
      <c r="M38"/>
      <c r="N38" s="57"/>
      <c r="O38" s="57"/>
      <c r="P38" s="57"/>
      <c r="Q38" s="57"/>
    </row>
    <row r="39" spans="2:22" ht="18.75" customHeight="1" thickTop="1" thickBot="1">
      <c r="B39" s="244" t="s">
        <v>374</v>
      </c>
      <c r="C39" s="270"/>
      <c r="D39" s="270"/>
      <c r="E39" s="270"/>
      <c r="F39" s="245">
        <f>D21</f>
        <v>10114907.640999997</v>
      </c>
      <c r="G39" s="246"/>
      <c r="H39" s="245">
        <f>D39+F39</f>
        <v>10114907.640999997</v>
      </c>
      <c r="I39" s="270"/>
      <c r="J39"/>
      <c r="K39"/>
      <c r="L39"/>
      <c r="M39"/>
      <c r="N39" s="57"/>
      <c r="O39" s="57"/>
      <c r="P39" s="57"/>
      <c r="Q39" s="57"/>
    </row>
    <row r="40" spans="2:22" ht="18.75" customHeight="1" thickTop="1" thickBot="1">
      <c r="B40" s="244" t="s">
        <v>375</v>
      </c>
      <c r="C40" s="270"/>
      <c r="D40" s="270"/>
      <c r="E40" s="270"/>
      <c r="F40" s="245">
        <f>F21</f>
        <v>10699023.29767525</v>
      </c>
      <c r="G40" s="246"/>
      <c r="H40" s="245">
        <f>D40+F40</f>
        <v>10699023.29767525</v>
      </c>
      <c r="I40" s="270"/>
      <c r="J40"/>
      <c r="K40"/>
      <c r="L40"/>
      <c r="M40"/>
      <c r="N40" s="57"/>
      <c r="O40" s="57"/>
      <c r="P40" s="57"/>
      <c r="Q40" s="57"/>
    </row>
    <row r="41" spans="2:22" ht="18.75" customHeight="1" thickTop="1" thickBot="1">
      <c r="B41" s="272" t="s">
        <v>369</v>
      </c>
      <c r="C41" s="365">
        <f>D38/C38</f>
        <v>436.44631872032255</v>
      </c>
      <c r="D41" s="365"/>
      <c r="E41" s="365">
        <f>(F38-(F39+F40))/E38</f>
        <v>661.00676682638573</v>
      </c>
      <c r="F41" s="365"/>
      <c r="G41" s="365">
        <f>(H38-(H39+H40))/G38</f>
        <v>584.47062679487613</v>
      </c>
      <c r="H41" s="365"/>
      <c r="I41" s="271"/>
      <c r="J41"/>
      <c r="K41"/>
      <c r="L41"/>
      <c r="M41"/>
      <c r="N41" s="57"/>
      <c r="O41" s="57"/>
      <c r="P41" s="57"/>
      <c r="Q41" s="57"/>
    </row>
    <row r="42" spans="2:22" ht="15.75" thickTop="1">
      <c r="B42" s="90" t="s">
        <v>284</v>
      </c>
      <c r="C42" s="136"/>
      <c r="D42" s="136"/>
      <c r="E42" s="136"/>
      <c r="F42" s="136"/>
      <c r="G42" s="57"/>
      <c r="H42" s="57"/>
      <c r="I42" s="136"/>
      <c r="J42" s="57"/>
      <c r="K42" s="57"/>
      <c r="L42" s="57"/>
      <c r="M42" s="57"/>
      <c r="N42" s="57"/>
      <c r="O42" s="57"/>
      <c r="P42" s="57"/>
      <c r="Q42" s="57"/>
    </row>
    <row r="43" spans="2:22">
      <c r="B43" s="57"/>
      <c r="C43" s="233"/>
      <c r="D43" s="233"/>
      <c r="E43" s="57"/>
      <c r="F43" s="57"/>
      <c r="G43" s="57"/>
      <c r="H43" s="57"/>
      <c r="I43" s="232"/>
      <c r="J43" s="57"/>
      <c r="K43" s="57"/>
      <c r="L43" s="57"/>
      <c r="M43" s="57"/>
      <c r="N43" s="57"/>
      <c r="O43" s="57"/>
      <c r="P43" s="57"/>
      <c r="Q43" s="57"/>
    </row>
    <row r="44" spans="2:22">
      <c r="B44" s="57" t="s">
        <v>266</v>
      </c>
      <c r="C44" s="57"/>
      <c r="D44" s="57"/>
      <c r="E44" s="57"/>
      <c r="F44" s="57"/>
      <c r="G44" s="85"/>
      <c r="H44" s="85"/>
      <c r="I44" s="57"/>
      <c r="J44" s="57"/>
      <c r="K44" s="57"/>
      <c r="L44" s="57"/>
      <c r="M44" s="57"/>
      <c r="N44" s="57"/>
      <c r="O44" s="57"/>
      <c r="P44" s="57"/>
      <c r="Q44" s="57"/>
    </row>
    <row r="45" spans="2:22">
      <c r="B45" s="140" t="s">
        <v>275</v>
      </c>
      <c r="C45" s="57"/>
      <c r="D45" s="57"/>
      <c r="E45" s="57"/>
      <c r="F45" s="57"/>
      <c r="G45" s="232"/>
      <c r="H45" s="232"/>
      <c r="I45" s="232"/>
      <c r="J45" s="57"/>
      <c r="K45" s="57"/>
      <c r="L45" s="57"/>
      <c r="M45" s="57"/>
      <c r="N45" s="57"/>
      <c r="O45" s="57"/>
      <c r="P45" s="57"/>
      <c r="Q45" s="57"/>
    </row>
    <row r="46" spans="2:22">
      <c r="B46" s="57"/>
      <c r="C46" s="57"/>
      <c r="D46" s="57"/>
      <c r="E46" s="57"/>
      <c r="F46" s="57"/>
      <c r="G46" s="232"/>
      <c r="H46" s="234"/>
      <c r="I46" s="57"/>
      <c r="J46" s="57"/>
      <c r="K46" s="57"/>
      <c r="L46" s="57"/>
      <c r="M46" s="57"/>
      <c r="N46" s="57"/>
      <c r="O46" s="57"/>
      <c r="P46" s="57"/>
      <c r="Q46" s="57"/>
    </row>
    <row r="47" spans="2:22">
      <c r="B47" s="57"/>
      <c r="C47" s="91"/>
      <c r="D47" s="91"/>
      <c r="E47" s="91"/>
      <c r="F47" s="149">
        <f>(F36-F39)/E36</f>
        <v>1071.2432096226692</v>
      </c>
      <c r="G47" s="57"/>
      <c r="H47" s="57"/>
      <c r="I47" s="57"/>
      <c r="J47" s="57"/>
      <c r="K47" s="57"/>
      <c r="L47" s="57"/>
      <c r="M47" s="57"/>
      <c r="N47" s="57"/>
      <c r="O47" s="57"/>
      <c r="P47" s="57"/>
      <c r="Q47" s="57"/>
    </row>
    <row r="48" spans="2:22">
      <c r="B48" s="57"/>
      <c r="C48" s="232"/>
      <c r="D48" s="235"/>
      <c r="E48" s="91"/>
      <c r="F48" s="149">
        <f>(F37-F40)/E37</f>
        <v>429.52069146613599</v>
      </c>
      <c r="G48" s="91"/>
      <c r="H48" s="235"/>
      <c r="I48" s="91"/>
      <c r="J48" s="57"/>
      <c r="K48" s="57"/>
      <c r="L48" s="57"/>
      <c r="M48" s="57"/>
      <c r="N48" s="57"/>
      <c r="O48" s="57"/>
      <c r="P48" s="57"/>
      <c r="Q48" s="57"/>
    </row>
    <row r="49" spans="2:17">
      <c r="B49" s="57"/>
      <c r="C49" s="91"/>
      <c r="D49" s="91"/>
      <c r="E49" s="91"/>
      <c r="F49" s="91"/>
      <c r="G49" s="91"/>
      <c r="H49" s="91"/>
      <c r="I49" s="91"/>
      <c r="J49" s="57"/>
      <c r="K49" s="57"/>
      <c r="L49" s="57"/>
      <c r="M49" s="57"/>
      <c r="N49" s="57"/>
      <c r="O49" s="57"/>
      <c r="P49" s="57"/>
      <c r="Q49" s="57"/>
    </row>
    <row r="50" spans="2:17">
      <c r="B50" s="57"/>
      <c r="C50" s="91"/>
      <c r="D50" s="91"/>
      <c r="E50" s="91"/>
      <c r="F50" s="91"/>
      <c r="G50" s="91"/>
      <c r="H50" s="91"/>
      <c r="I50" s="91"/>
      <c r="J50" s="57"/>
      <c r="K50" s="57"/>
      <c r="L50" s="57"/>
      <c r="M50" s="57"/>
      <c r="N50" s="57"/>
      <c r="O50" s="57"/>
      <c r="P50" s="57"/>
      <c r="Q50" s="57"/>
    </row>
    <row r="51" spans="2:17">
      <c r="B51" s="57"/>
      <c r="C51" s="91"/>
      <c r="D51" s="91"/>
      <c r="E51" s="91"/>
      <c r="F51" s="91"/>
      <c r="G51" s="91"/>
      <c r="H51" s="91"/>
      <c r="I51" s="91"/>
      <c r="J51" s="57"/>
      <c r="K51" s="57"/>
      <c r="L51" s="57"/>
      <c r="M51" s="57"/>
      <c r="N51" s="57"/>
      <c r="O51" s="57"/>
      <c r="P51" s="57"/>
      <c r="Q51" s="57"/>
    </row>
    <row r="52" spans="2:17">
      <c r="B52" s="57"/>
      <c r="C52" s="91"/>
      <c r="D52" s="91"/>
      <c r="E52" s="91"/>
      <c r="F52" s="91"/>
      <c r="G52" s="91"/>
      <c r="H52" s="91"/>
      <c r="I52" s="91"/>
      <c r="J52" s="57"/>
      <c r="K52" s="57"/>
      <c r="L52" s="57"/>
      <c r="M52" s="57"/>
      <c r="N52" s="57"/>
      <c r="O52" s="57"/>
      <c r="P52" s="57"/>
      <c r="Q52" s="57"/>
    </row>
    <row r="53" spans="2:17">
      <c r="C53" s="47"/>
      <c r="D53" s="47"/>
      <c r="E53" s="47"/>
      <c r="F53" s="47"/>
      <c r="G53" s="47"/>
      <c r="H53" s="47"/>
      <c r="I53" s="47"/>
    </row>
    <row r="54" spans="2:17">
      <c r="C54" s="47"/>
      <c r="D54" s="47"/>
      <c r="E54" s="47"/>
      <c r="F54" s="47"/>
      <c r="G54" s="47"/>
      <c r="H54" s="47"/>
      <c r="I54" s="47"/>
    </row>
    <row r="55" spans="2:17">
      <c r="C55" s="47"/>
      <c r="D55" s="47"/>
      <c r="E55" s="47"/>
      <c r="F55" s="47"/>
      <c r="G55" s="47"/>
      <c r="H55" s="47"/>
      <c r="I55" s="47"/>
    </row>
  </sheetData>
  <mergeCells count="19">
    <mergeCell ref="M3:Q3"/>
    <mergeCell ref="C22:D22"/>
    <mergeCell ref="G22:H22"/>
    <mergeCell ref="K22:L22"/>
    <mergeCell ref="M22:Q22"/>
    <mergeCell ref="C3:D3"/>
    <mergeCell ref="G3:H3"/>
    <mergeCell ref="K3:L3"/>
    <mergeCell ref="I3:J3"/>
    <mergeCell ref="I22:J22"/>
    <mergeCell ref="E3:F3"/>
    <mergeCell ref="E22:F22"/>
    <mergeCell ref="B34:B35"/>
    <mergeCell ref="C41:D41"/>
    <mergeCell ref="E41:F41"/>
    <mergeCell ref="G41:H41"/>
    <mergeCell ref="C34:D34"/>
    <mergeCell ref="E34:F34"/>
    <mergeCell ref="G34:I34"/>
  </mergeCells>
  <hyperlinks>
    <hyperlink ref="A1" location="ACCUEIL!A1" display="ACCUEIL"/>
  </hyperlinks>
  <pageMargins left="0.19685039370078741" right="0.19685039370078741" top="0.15748031496062992" bottom="0.15748031496062992" header="0.31496062992125984" footer="0.31496062992125984"/>
  <pageSetup paperSize="9" scale="95" orientation="landscape" r:id="rId1"/>
  <drawing r:id="rId2"/>
  <legacyDrawing r:id="rId3"/>
</worksheet>
</file>

<file path=xl/worksheets/sheet4.xml><?xml version="1.0" encoding="utf-8"?>
<worksheet xmlns="http://schemas.openxmlformats.org/spreadsheetml/2006/main" xmlns:r="http://schemas.openxmlformats.org/officeDocument/2006/relationships">
  <sheetPr>
    <tabColor theme="9" tint="-0.249977111117893"/>
  </sheetPr>
  <dimension ref="A1:N79"/>
  <sheetViews>
    <sheetView zoomScale="80" zoomScaleNormal="80" workbookViewId="0"/>
  </sheetViews>
  <sheetFormatPr baseColWidth="10" defaultRowHeight="15"/>
  <cols>
    <col min="1" max="1" width="11.42578125" style="25"/>
    <col min="2" max="2" width="14.7109375" style="25" bestFit="1" customWidth="1"/>
    <col min="3" max="4" width="15.85546875" style="25" customWidth="1"/>
    <col min="5" max="6" width="14.7109375" style="25" customWidth="1"/>
    <col min="7" max="11" width="11.42578125" style="25"/>
    <col min="12" max="12" width="16.5703125" style="25" bestFit="1" customWidth="1"/>
    <col min="13" max="13" width="17.42578125" style="25" bestFit="1" customWidth="1"/>
    <col min="14" max="14" width="22.140625" style="25" bestFit="1" customWidth="1"/>
    <col min="15" max="16384" width="11.42578125" style="25"/>
  </cols>
  <sheetData>
    <row r="1" spans="1:11" ht="15.75" thickBot="1">
      <c r="A1" s="28" t="s">
        <v>206</v>
      </c>
    </row>
    <row r="3" spans="1:11">
      <c r="C3" s="380" t="s">
        <v>259</v>
      </c>
      <c r="D3" s="380"/>
      <c r="E3" s="18" t="s">
        <v>187</v>
      </c>
      <c r="G3" s="46" t="s">
        <v>280</v>
      </c>
    </row>
    <row r="4" spans="1:11">
      <c r="B4" s="52" t="s">
        <v>1</v>
      </c>
      <c r="C4" s="110">
        <f>'version consolidée UE'!AO7</f>
        <v>47508</v>
      </c>
      <c r="D4" s="192">
        <f t="shared" ref="D4:D34" si="0">C4/$C$35</f>
        <v>0.10352537143006568</v>
      </c>
      <c r="E4" s="86">
        <f t="shared" ref="E4:E34" si="1">RANK(C4,$C$4:$C$34)</f>
        <v>4</v>
      </c>
    </row>
    <row r="5" spans="1:11">
      <c r="B5" s="52" t="s">
        <v>3</v>
      </c>
      <c r="C5" s="110">
        <f>'version consolidée UE'!AO8</f>
        <v>4754</v>
      </c>
      <c r="D5" s="192">
        <f t="shared" si="0"/>
        <v>1.0359510309390677E-2</v>
      </c>
      <c r="E5" s="86">
        <f t="shared" si="1"/>
        <v>10</v>
      </c>
    </row>
    <row r="6" spans="1:11">
      <c r="B6" s="52" t="s">
        <v>4</v>
      </c>
      <c r="C6" s="110">
        <f>'version consolidée UE'!AO9</f>
        <v>135216</v>
      </c>
      <c r="D6" s="192">
        <f t="shared" si="0"/>
        <v>0.29465114556049005</v>
      </c>
      <c r="E6" s="86">
        <f t="shared" si="1"/>
        <v>1</v>
      </c>
      <c r="K6" s="25" t="str">
        <f>"n = "&amp;TEXT(C35,"000 000")</f>
        <v>n = 458 902</v>
      </c>
    </row>
    <row r="7" spans="1:11">
      <c r="B7" s="52" t="s">
        <v>5</v>
      </c>
      <c r="C7" s="110">
        <f>'version consolidée UE'!AO10</f>
        <v>962</v>
      </c>
      <c r="D7" s="192">
        <f t="shared" si="0"/>
        <v>2.0963081442225136E-3</v>
      </c>
      <c r="E7" s="86">
        <f t="shared" si="1"/>
        <v>18</v>
      </c>
    </row>
    <row r="8" spans="1:11">
      <c r="B8" s="52" t="s">
        <v>6</v>
      </c>
      <c r="C8" s="110">
        <f>'version consolidée UE'!AO11</f>
        <v>291</v>
      </c>
      <c r="D8" s="192">
        <f t="shared" si="0"/>
        <v>6.3412231805483527E-4</v>
      </c>
      <c r="E8" s="86">
        <f t="shared" si="1"/>
        <v>27</v>
      </c>
      <c r="J8" s="30"/>
    </row>
    <row r="9" spans="1:11">
      <c r="B9" s="52" t="s">
        <v>32</v>
      </c>
      <c r="C9" s="110">
        <f>'version consolidée UE'!AO12</f>
        <v>1932</v>
      </c>
      <c r="D9" s="192">
        <f t="shared" si="0"/>
        <v>4.2100492044052978E-3</v>
      </c>
      <c r="E9" s="86">
        <f t="shared" si="1"/>
        <v>15</v>
      </c>
    </row>
    <row r="10" spans="1:11">
      <c r="B10" s="52" t="s">
        <v>44</v>
      </c>
      <c r="C10" s="110">
        <f>'version consolidée UE'!AO13</f>
        <v>457</v>
      </c>
      <c r="D10" s="192">
        <f t="shared" si="0"/>
        <v>9.9585532423044579E-4</v>
      </c>
      <c r="E10" s="86">
        <f t="shared" si="1"/>
        <v>23</v>
      </c>
    </row>
    <row r="11" spans="1:11">
      <c r="B11" s="52" t="s">
        <v>7</v>
      </c>
      <c r="C11" s="110">
        <f>'version consolidée UE'!AO14</f>
        <v>76978</v>
      </c>
      <c r="D11" s="192">
        <f t="shared" si="0"/>
        <v>0.16774387559871171</v>
      </c>
      <c r="E11" s="86">
        <f t="shared" si="1"/>
        <v>3</v>
      </c>
    </row>
    <row r="12" spans="1:11">
      <c r="B12" s="52" t="s">
        <v>8</v>
      </c>
      <c r="C12" s="110">
        <f>'version consolidée UE'!AO15</f>
        <v>148</v>
      </c>
      <c r="D12" s="192">
        <f t="shared" si="0"/>
        <v>3.2250894526500212E-4</v>
      </c>
      <c r="E12" s="86">
        <f t="shared" si="1"/>
        <v>29</v>
      </c>
    </row>
    <row r="13" spans="1:11">
      <c r="B13" s="52" t="s">
        <v>9</v>
      </c>
      <c r="C13" s="110">
        <f>'version consolidée UE'!AO16</f>
        <v>742</v>
      </c>
      <c r="D13" s="192">
        <f t="shared" si="0"/>
        <v>1.6169029553150783E-3</v>
      </c>
      <c r="E13" s="86">
        <f t="shared" si="1"/>
        <v>21</v>
      </c>
    </row>
    <row r="14" spans="1:11">
      <c r="B14" s="52" t="s">
        <v>10</v>
      </c>
      <c r="C14" s="110">
        <f>'version consolidée UE'!AO17</f>
        <v>6111</v>
      </c>
      <c r="D14" s="192">
        <f t="shared" si="0"/>
        <v>1.331656867915154E-2</v>
      </c>
      <c r="E14" s="86">
        <f t="shared" si="1"/>
        <v>9</v>
      </c>
    </row>
    <row r="15" spans="1:11">
      <c r="B15" s="52" t="s">
        <v>11</v>
      </c>
      <c r="C15" s="110">
        <f>'version consolidée UE'!AO18</f>
        <v>4697</v>
      </c>
      <c r="D15" s="192">
        <f t="shared" si="0"/>
        <v>1.0235300783173749E-2</v>
      </c>
      <c r="E15" s="86">
        <f t="shared" si="1"/>
        <v>11</v>
      </c>
    </row>
    <row r="16" spans="1:11">
      <c r="B16" s="52" t="s">
        <v>45</v>
      </c>
      <c r="C16" s="110">
        <f>'version consolidée UE'!AO19</f>
        <v>802</v>
      </c>
      <c r="D16" s="192">
        <f t="shared" si="0"/>
        <v>1.7476498250171061E-3</v>
      </c>
      <c r="E16" s="86">
        <f t="shared" si="1"/>
        <v>19</v>
      </c>
    </row>
    <row r="17" spans="2:11">
      <c r="B17" s="52" t="s">
        <v>12</v>
      </c>
      <c r="C17" s="110">
        <f>'version consolidée UE'!AO20</f>
        <v>364</v>
      </c>
      <c r="D17" s="192">
        <f t="shared" si="0"/>
        <v>7.931976761923025E-4</v>
      </c>
      <c r="E17" s="86">
        <f t="shared" si="1"/>
        <v>24</v>
      </c>
      <c r="G17" s="30"/>
    </row>
    <row r="18" spans="2:11">
      <c r="B18" s="52" t="s">
        <v>13</v>
      </c>
      <c r="C18" s="110">
        <f>'version consolidée UE'!AO21</f>
        <v>11383</v>
      </c>
      <c r="D18" s="192">
        <f t="shared" si="0"/>
        <v>2.4804860296969725E-2</v>
      </c>
      <c r="E18" s="86">
        <f t="shared" si="1"/>
        <v>7</v>
      </c>
      <c r="G18" s="40"/>
    </row>
    <row r="19" spans="2:11">
      <c r="B19" s="52" t="s">
        <v>46</v>
      </c>
      <c r="C19" s="110">
        <f>'version consolidée UE'!AO22</f>
        <v>140</v>
      </c>
      <c r="D19" s="192">
        <f t="shared" si="0"/>
        <v>3.0507602930473175E-4</v>
      </c>
      <c r="E19" s="86">
        <f t="shared" si="1"/>
        <v>30</v>
      </c>
      <c r="G19" s="40" t="s">
        <v>276</v>
      </c>
    </row>
    <row r="20" spans="2:11">
      <c r="B20" s="52" t="s">
        <v>14</v>
      </c>
      <c r="C20" s="110">
        <f>'version consolidée UE'!AO23</f>
        <v>43</v>
      </c>
      <c r="D20" s="192">
        <f t="shared" si="0"/>
        <v>9.3701923286453317E-5</v>
      </c>
      <c r="E20" s="86">
        <f t="shared" si="1"/>
        <v>31</v>
      </c>
      <c r="G20" s="40"/>
      <c r="H20" s="27"/>
      <c r="I20" s="27"/>
      <c r="J20" s="27"/>
    </row>
    <row r="21" spans="2:11">
      <c r="B21" s="52" t="s">
        <v>15</v>
      </c>
      <c r="C21" s="110">
        <f>'version consolidée UE'!AO24</f>
        <v>243</v>
      </c>
      <c r="D21" s="192">
        <f t="shared" si="0"/>
        <v>5.2952482229321298E-4</v>
      </c>
      <c r="E21" s="86">
        <f t="shared" si="1"/>
        <v>28</v>
      </c>
      <c r="G21" s="27"/>
      <c r="H21" s="27"/>
      <c r="I21" s="27"/>
      <c r="J21" s="27"/>
    </row>
    <row r="22" spans="2:11">
      <c r="B22" s="52" t="s">
        <v>16</v>
      </c>
      <c r="C22" s="110">
        <f>'version consolidée UE'!AO25</f>
        <v>21284</v>
      </c>
      <c r="D22" s="192">
        <f t="shared" si="0"/>
        <v>4.6380272912299361E-2</v>
      </c>
      <c r="E22" s="86">
        <f t="shared" si="1"/>
        <v>6</v>
      </c>
      <c r="G22" s="47"/>
      <c r="H22" s="47"/>
      <c r="I22" s="47"/>
      <c r="J22" s="47"/>
      <c r="K22" s="47"/>
    </row>
    <row r="23" spans="2:11">
      <c r="B23" s="52" t="s">
        <v>17</v>
      </c>
      <c r="C23" s="110">
        <f>'version consolidée UE'!AO26</f>
        <v>761</v>
      </c>
      <c r="D23" s="192">
        <f t="shared" si="0"/>
        <v>1.6583061307207203E-3</v>
      </c>
      <c r="E23" s="86">
        <f t="shared" si="1"/>
        <v>20</v>
      </c>
      <c r="G23" s="61"/>
    </row>
    <row r="24" spans="2:11">
      <c r="B24" s="52" t="s">
        <v>18</v>
      </c>
      <c r="C24" s="110">
        <f>'version consolidée UE'!AO27</f>
        <v>320</v>
      </c>
      <c r="D24" s="192">
        <f t="shared" si="0"/>
        <v>6.9731663841081533E-4</v>
      </c>
      <c r="E24" s="86">
        <f t="shared" si="1"/>
        <v>26</v>
      </c>
    </row>
    <row r="25" spans="2:11">
      <c r="B25" s="52" t="s">
        <v>19</v>
      </c>
      <c r="C25" s="110">
        <f>'version consolidée UE'!AO28</f>
        <v>2043</v>
      </c>
      <c r="D25" s="192">
        <f t="shared" si="0"/>
        <v>4.4519309133540493E-3</v>
      </c>
      <c r="E25" s="86">
        <f t="shared" si="1"/>
        <v>14</v>
      </c>
    </row>
    <row r="26" spans="2:11">
      <c r="B26" s="52" t="s">
        <v>20</v>
      </c>
      <c r="C26" s="110">
        <f>'version consolidée UE'!AO29</f>
        <v>6815</v>
      </c>
      <c r="D26" s="192">
        <f t="shared" si="0"/>
        <v>1.4850665283655334E-2</v>
      </c>
      <c r="E26" s="86">
        <f t="shared" si="1"/>
        <v>8</v>
      </c>
    </row>
    <row r="27" spans="2:11">
      <c r="B27" s="52" t="s">
        <v>21</v>
      </c>
      <c r="C27" s="110">
        <f>'version consolidée UE'!AO30</f>
        <v>104654</v>
      </c>
      <c r="D27" s="192">
        <f t="shared" si="0"/>
        <v>0.22805304836326709</v>
      </c>
      <c r="E27" s="86">
        <f t="shared" si="1"/>
        <v>2</v>
      </c>
    </row>
    <row r="28" spans="2:11">
      <c r="B28" s="52" t="s">
        <v>22</v>
      </c>
      <c r="C28" s="110">
        <f>'version consolidée UE'!AO31</f>
        <v>2182</v>
      </c>
      <c r="D28" s="192">
        <f t="shared" si="0"/>
        <v>4.7548278281637473E-3</v>
      </c>
      <c r="E28" s="86">
        <f t="shared" si="1"/>
        <v>13</v>
      </c>
    </row>
    <row r="29" spans="2:11">
      <c r="B29" s="52" t="s">
        <v>23</v>
      </c>
      <c r="C29" s="110">
        <f>'version consolidée UE'!AO32</f>
        <v>1334</v>
      </c>
      <c r="D29" s="192">
        <f t="shared" si="0"/>
        <v>2.9069387363750867E-3</v>
      </c>
      <c r="E29" s="86">
        <f t="shared" si="1"/>
        <v>16</v>
      </c>
    </row>
    <row r="30" spans="2:11">
      <c r="B30" s="52" t="s">
        <v>24</v>
      </c>
      <c r="C30" s="110">
        <f>'version consolidée UE'!AO33</f>
        <v>2383</v>
      </c>
      <c r="D30" s="192">
        <f t="shared" si="0"/>
        <v>5.1928298416655406E-3</v>
      </c>
      <c r="E30" s="86">
        <f t="shared" si="1"/>
        <v>12</v>
      </c>
    </row>
    <row r="31" spans="2:11">
      <c r="B31" s="52" t="s">
        <v>25</v>
      </c>
      <c r="C31" s="110">
        <f>'version consolidée UE'!AO34</f>
        <v>966</v>
      </c>
      <c r="D31" s="192">
        <f t="shared" si="0"/>
        <v>2.1050246022026489E-3</v>
      </c>
      <c r="E31" s="86">
        <f t="shared" si="1"/>
        <v>17</v>
      </c>
    </row>
    <row r="32" spans="2:11">
      <c r="B32" s="52" t="s">
        <v>26</v>
      </c>
      <c r="C32" s="110">
        <f>'version consolidée UE'!AO35</f>
        <v>498</v>
      </c>
      <c r="D32" s="192">
        <f t="shared" si="0"/>
        <v>1.0851990185268313E-3</v>
      </c>
      <c r="E32" s="86">
        <f t="shared" si="1"/>
        <v>22</v>
      </c>
    </row>
    <row r="33" spans="1:14">
      <c r="B33" s="52" t="s">
        <v>27</v>
      </c>
      <c r="C33" s="110">
        <f>'version consolidée UE'!AO36</f>
        <v>348</v>
      </c>
      <c r="D33" s="192">
        <f t="shared" si="0"/>
        <v>7.5833184427176177E-4</v>
      </c>
      <c r="E33" s="86">
        <f t="shared" si="1"/>
        <v>25</v>
      </c>
    </row>
    <row r="34" spans="1:14">
      <c r="B34" s="52" t="s">
        <v>28</v>
      </c>
      <c r="C34" s="110">
        <f>'version consolidée UE'!AO37</f>
        <v>22543</v>
      </c>
      <c r="D34" s="192">
        <f t="shared" si="0"/>
        <v>4.9123778061546906E-2</v>
      </c>
      <c r="E34" s="86">
        <f t="shared" si="1"/>
        <v>5</v>
      </c>
    </row>
    <row r="35" spans="1:14">
      <c r="B35" s="20" t="s">
        <v>188</v>
      </c>
      <c r="C35" s="111">
        <f>SUM(C4:C34)</f>
        <v>458902</v>
      </c>
      <c r="D35" s="193">
        <f>SUM(D4:D34)</f>
        <v>0.99999999999999989</v>
      </c>
      <c r="E35" s="57"/>
    </row>
    <row r="36" spans="1:14">
      <c r="B36" s="58"/>
    </row>
    <row r="37" spans="1:14">
      <c r="B37" s="52" t="str">
        <f>INDEX(Europe,MATCH(1,Rang_Europe,0),1)</f>
        <v>Belgique</v>
      </c>
      <c r="C37" s="155">
        <f>INDEX(Europe,MATCH(1,Rang_Europe,0),2)</f>
        <v>135216</v>
      </c>
      <c r="D37" s="236"/>
    </row>
    <row r="38" spans="1:14">
      <c r="B38" s="52" t="str">
        <f>INDEX(Europe,MATCH(2,Rang_Europe,0),1)</f>
        <v>Portugal</v>
      </c>
      <c r="C38" s="155">
        <f>INDEX(Europe,MATCH(2,Rang_Europe,0),2)</f>
        <v>104654</v>
      </c>
      <c r="D38" s="236"/>
    </row>
    <row r="39" spans="1:14">
      <c r="B39" s="52" t="str">
        <f>INDEX(Europe,MATCH(3,Rang_Europe,0),1)</f>
        <v>Espagne</v>
      </c>
      <c r="C39" s="155">
        <f>INDEX(Europe,MATCH(3,Rang_Europe,0),2)</f>
        <v>76978</v>
      </c>
      <c r="D39" s="236"/>
    </row>
    <row r="40" spans="1:14">
      <c r="B40" s="52" t="str">
        <f>INDEX(Europe,MATCH(4,Rang_Europe,0),1)</f>
        <v>Allemagne</v>
      </c>
      <c r="C40" s="155">
        <f>INDEX(Europe,MATCH(4,Rang_Europe,0),2)</f>
        <v>47508</v>
      </c>
      <c r="D40" s="236"/>
    </row>
    <row r="41" spans="1:14">
      <c r="B41" s="52" t="str">
        <f>INDEX(Europe,MATCH(5,Rang_Europe,0),1)</f>
        <v>Suisse</v>
      </c>
      <c r="C41" s="155">
        <f>INDEX(Europe,MATCH(5,Rang_Europe,0),2)</f>
        <v>22543</v>
      </c>
      <c r="D41" s="236"/>
    </row>
    <row r="42" spans="1:14">
      <c r="B42" s="52" t="s">
        <v>189</v>
      </c>
      <c r="C42" s="155">
        <f>C35-C37-C38-C39-C40-C41</f>
        <v>72003</v>
      </c>
      <c r="D42" s="236"/>
    </row>
    <row r="44" spans="1:14">
      <c r="A44" s="57"/>
      <c r="B44" s="57"/>
      <c r="C44" s="57"/>
      <c r="D44" s="57"/>
      <c r="E44" s="57"/>
      <c r="F44" s="57"/>
      <c r="G44" s="57"/>
      <c r="H44" s="57"/>
      <c r="I44" s="112"/>
      <c r="J44" s="57"/>
      <c r="K44" s="57"/>
    </row>
    <row r="45" spans="1:14">
      <c r="A45" s="57"/>
      <c r="B45" s="113"/>
      <c r="C45" s="381" t="s">
        <v>190</v>
      </c>
      <c r="D45" s="382"/>
      <c r="E45" s="381" t="s">
        <v>151</v>
      </c>
      <c r="F45" s="382"/>
      <c r="G45" s="383" t="s">
        <v>191</v>
      </c>
      <c r="H45" s="383"/>
      <c r="I45" s="383" t="s">
        <v>182</v>
      </c>
      <c r="J45" s="383"/>
      <c r="K45" s="57"/>
      <c r="L45" s="5" t="str">
        <f>C45</f>
        <v>Soins nécessaires</v>
      </c>
      <c r="M45" s="5" t="str">
        <f>E45</f>
        <v>Soins programmés</v>
      </c>
      <c r="N45" s="5" t="str">
        <f>G45</f>
        <v>Soins liés à la résidence</v>
      </c>
    </row>
    <row r="46" spans="1:14">
      <c r="A46" s="57"/>
      <c r="B46" s="86" t="s">
        <v>1</v>
      </c>
      <c r="C46" s="21">
        <f>'version consolidée UE'!B7</f>
        <v>29531</v>
      </c>
      <c r="D46" s="22">
        <f>C46/I46</f>
        <v>0.621600572535152</v>
      </c>
      <c r="E46" s="21">
        <f>'version consolidée UE'!I7</f>
        <v>1267</v>
      </c>
      <c r="F46" s="22">
        <f>E46/I46</f>
        <v>2.6669192557043024E-2</v>
      </c>
      <c r="G46" s="21">
        <f>'version consolidée UE'!P7+'version consolidée UE'!AJ7+'version consolidée UE'!AL7</f>
        <v>16710</v>
      </c>
      <c r="H46" s="22">
        <f>G46/I46</f>
        <v>0.35173023490780503</v>
      </c>
      <c r="I46" s="21">
        <f>C46+E46+G46</f>
        <v>47508</v>
      </c>
      <c r="J46" s="22">
        <f>D46+F46+H46</f>
        <v>1</v>
      </c>
      <c r="K46" s="57"/>
      <c r="L46" s="62">
        <f>C46/$C$77</f>
        <v>9.1392441887454628E-2</v>
      </c>
      <c r="M46" s="62">
        <f>E46/$E$77</f>
        <v>1.6891981974775351E-2</v>
      </c>
      <c r="N46" s="62">
        <f>G46/$G$77</f>
        <v>0.27495762921034012</v>
      </c>
    </row>
    <row r="47" spans="1:14">
      <c r="A47" s="57"/>
      <c r="B47" s="86" t="s">
        <v>3</v>
      </c>
      <c r="C47" s="21">
        <f>'version consolidée UE'!B8</f>
        <v>3667</v>
      </c>
      <c r="D47" s="22">
        <f t="shared" ref="D47:D76" si="2">C47/I47</f>
        <v>0.77135044173327727</v>
      </c>
      <c r="E47" s="21">
        <f>'version consolidée UE'!I8</f>
        <v>14</v>
      </c>
      <c r="F47" s="22">
        <f t="shared" ref="F47:F77" si="3">E47/I47</f>
        <v>2.944888514934792E-3</v>
      </c>
      <c r="G47" s="21">
        <f>'version consolidée UE'!P8+'version consolidée UE'!AJ8+'version consolidée UE'!AL8</f>
        <v>1073</v>
      </c>
      <c r="H47" s="22">
        <f t="shared" ref="H47:H77" si="4">G47/I47</f>
        <v>0.22570466975178796</v>
      </c>
      <c r="I47" s="21">
        <f t="shared" ref="I47:I75" si="5">C47+E47+G47</f>
        <v>4754</v>
      </c>
      <c r="J47" s="22">
        <f>D47+F47+H47</f>
        <v>1</v>
      </c>
      <c r="K47" s="57"/>
      <c r="L47" s="62">
        <f t="shared" ref="L47:L76" si="6">C47/$C$77</f>
        <v>1.1348619565923812E-2</v>
      </c>
      <c r="M47" s="62">
        <f t="shared" ref="M47:M76" si="7">E47/$E$77</f>
        <v>1.8665173452790443E-4</v>
      </c>
      <c r="N47" s="62">
        <f t="shared" ref="N47:N76" si="8">G47/$G$77</f>
        <v>1.7655866914583779E-2</v>
      </c>
    </row>
    <row r="48" spans="1:14">
      <c r="A48" s="57"/>
      <c r="B48" s="86" t="s">
        <v>4</v>
      </c>
      <c r="C48" s="21">
        <f>'version consolidée UE'!B9</f>
        <v>46806</v>
      </c>
      <c r="D48" s="22">
        <f t="shared" si="2"/>
        <v>0.34615725949591764</v>
      </c>
      <c r="E48" s="21">
        <f>'version consolidée UE'!I9</f>
        <v>60255</v>
      </c>
      <c r="F48" s="22">
        <f t="shared" si="3"/>
        <v>0.44562034078807244</v>
      </c>
      <c r="G48" s="21">
        <f>'version consolidée UE'!P9+'version consolidée UE'!AJ9+'version consolidée UE'!AL9</f>
        <v>28155</v>
      </c>
      <c r="H48" s="22">
        <f t="shared" si="4"/>
        <v>0.20822239971600995</v>
      </c>
      <c r="I48" s="21">
        <f>C48+E48+G48</f>
        <v>135216</v>
      </c>
      <c r="J48" s="22">
        <f>D48+F48+H48</f>
        <v>1</v>
      </c>
      <c r="K48" s="57"/>
      <c r="L48" s="62">
        <f t="shared" si="6"/>
        <v>0.14485505519569947</v>
      </c>
      <c r="M48" s="62">
        <f t="shared" si="7"/>
        <v>0.80333573314134865</v>
      </c>
      <c r="N48" s="62">
        <f t="shared" si="8"/>
        <v>0.4632813914073684</v>
      </c>
    </row>
    <row r="49" spans="1:14">
      <c r="A49" s="57"/>
      <c r="B49" s="86" t="s">
        <v>5</v>
      </c>
      <c r="C49" s="21">
        <f>'version consolidée UE'!B10</f>
        <v>905</v>
      </c>
      <c r="D49" s="22">
        <f t="shared" si="2"/>
        <v>0.94074844074844077</v>
      </c>
      <c r="E49" s="21">
        <f>'version consolidée UE'!I10</f>
        <v>0</v>
      </c>
      <c r="F49" s="22">
        <f t="shared" si="3"/>
        <v>0</v>
      </c>
      <c r="G49" s="21">
        <f>'version consolidée UE'!P10+'version consolidée UE'!AJ10+'version consolidée UE'!AL10</f>
        <v>57</v>
      </c>
      <c r="H49" s="22">
        <f t="shared" si="4"/>
        <v>5.9251559251559255E-2</v>
      </c>
      <c r="I49" s="21">
        <f t="shared" si="5"/>
        <v>962</v>
      </c>
      <c r="J49" s="22">
        <f>D49+F49+H49</f>
        <v>1</v>
      </c>
      <c r="K49" s="57"/>
      <c r="L49" s="62">
        <f t="shared" si="6"/>
        <v>2.8007910300411917E-3</v>
      </c>
      <c r="M49" s="62">
        <f t="shared" si="7"/>
        <v>0</v>
      </c>
      <c r="N49" s="62">
        <f t="shared" si="8"/>
        <v>9.3791650897602551E-4</v>
      </c>
    </row>
    <row r="50" spans="1:14">
      <c r="A50" s="57"/>
      <c r="B50" s="86" t="s">
        <v>6</v>
      </c>
      <c r="C50" s="21">
        <f>'version consolidée UE'!B11</f>
        <v>259</v>
      </c>
      <c r="D50" s="22">
        <f t="shared" si="2"/>
        <v>0.89003436426116833</v>
      </c>
      <c r="E50" s="21">
        <f>'version consolidée UE'!I11</f>
        <v>5</v>
      </c>
      <c r="F50" s="22">
        <f t="shared" si="3"/>
        <v>1.7182130584192441E-2</v>
      </c>
      <c r="G50" s="21">
        <f>'version consolidée UE'!P11+'version consolidée UE'!AJ11+'version consolidée UE'!AL11</f>
        <v>27</v>
      </c>
      <c r="H50" s="22">
        <f t="shared" si="4"/>
        <v>9.2783505154639179E-2</v>
      </c>
      <c r="I50" s="21">
        <f t="shared" si="5"/>
        <v>291</v>
      </c>
      <c r="J50" s="22">
        <f>D50+F50+H50</f>
        <v>1</v>
      </c>
      <c r="K50" s="57"/>
      <c r="L50" s="62">
        <f t="shared" si="6"/>
        <v>8.0155235003388802E-4</v>
      </c>
      <c r="M50" s="62">
        <f t="shared" si="7"/>
        <v>6.6661333759965863E-5</v>
      </c>
      <c r="N50" s="62">
        <f t="shared" si="8"/>
        <v>4.4427624109390684E-4</v>
      </c>
    </row>
    <row r="51" spans="1:14">
      <c r="A51" s="57"/>
      <c r="B51" s="86" t="s">
        <v>32</v>
      </c>
      <c r="C51" s="21">
        <f>'version consolidée UE'!B12</f>
        <v>1575</v>
      </c>
      <c r="D51" s="22">
        <f t="shared" si="2"/>
        <v>0.81521739130434778</v>
      </c>
      <c r="E51" s="21">
        <f>'version consolidée UE'!I12</f>
        <v>4</v>
      </c>
      <c r="F51" s="22">
        <f t="shared" si="3"/>
        <v>2.070393374741201E-3</v>
      </c>
      <c r="G51" s="21">
        <f>'version consolidée UE'!P12+'version consolidée UE'!AJ12+'version consolidée UE'!AL12</f>
        <v>353</v>
      </c>
      <c r="H51" s="22">
        <f t="shared" si="4"/>
        <v>0.18271221532091098</v>
      </c>
      <c r="I51" s="21">
        <f t="shared" si="5"/>
        <v>1932</v>
      </c>
      <c r="J51" s="22">
        <f>D51+F51+H51</f>
        <v>1</v>
      </c>
      <c r="K51" s="57"/>
      <c r="L51" s="62">
        <f t="shared" si="6"/>
        <v>4.8743048312871566E-3</v>
      </c>
      <c r="M51" s="62">
        <f t="shared" si="7"/>
        <v>5.3329067007972695E-5</v>
      </c>
      <c r="N51" s="62">
        <f t="shared" si="8"/>
        <v>5.8085004854129298E-3</v>
      </c>
    </row>
    <row r="52" spans="1:14">
      <c r="A52" s="57"/>
      <c r="B52" s="86" t="s">
        <v>44</v>
      </c>
      <c r="C52" s="21">
        <f>'version consolidée UE'!B13</f>
        <v>419</v>
      </c>
      <c r="D52" s="22">
        <f t="shared" si="2"/>
        <v>0.91684901531728669</v>
      </c>
      <c r="E52" s="21">
        <f>'version consolidée UE'!I13</f>
        <v>13</v>
      </c>
      <c r="F52" s="22">
        <f t="shared" si="3"/>
        <v>2.8446389496717725E-2</v>
      </c>
      <c r="G52" s="21">
        <f>'version consolidée UE'!P13+'version consolidée UE'!AJ13+'version consolidée UE'!AL13</f>
        <v>25</v>
      </c>
      <c r="H52" s="22">
        <f t="shared" si="4"/>
        <v>5.4704595185995623E-2</v>
      </c>
      <c r="I52" s="21">
        <f t="shared" si="5"/>
        <v>457</v>
      </c>
      <c r="J52" s="22">
        <f t="shared" ref="J52:J77" si="9">D52+F52+H52</f>
        <v>1</v>
      </c>
      <c r="K52" s="57"/>
      <c r="L52" s="62">
        <f t="shared" si="6"/>
        <v>1.2967198249582976E-3</v>
      </c>
      <c r="M52" s="62">
        <f t="shared" si="7"/>
        <v>1.7331946777591125E-4</v>
      </c>
      <c r="N52" s="62">
        <f t="shared" si="8"/>
        <v>4.1136688990176559E-4</v>
      </c>
    </row>
    <row r="53" spans="1:14">
      <c r="A53" s="57"/>
      <c r="B53" s="86" t="s">
        <v>7</v>
      </c>
      <c r="C53" s="21">
        <f>'version consolidée UE'!B14</f>
        <v>64397</v>
      </c>
      <c r="D53" s="22">
        <f t="shared" si="2"/>
        <v>0.83656369352282467</v>
      </c>
      <c r="E53" s="21">
        <f>'version consolidée UE'!I14</f>
        <v>10476</v>
      </c>
      <c r="F53" s="22">
        <f t="shared" si="3"/>
        <v>0.13609083114656134</v>
      </c>
      <c r="G53" s="21">
        <f>'version consolidée UE'!P14+'version consolidée UE'!AJ14+'version consolidée UE'!AL14</f>
        <v>2105</v>
      </c>
      <c r="H53" s="22">
        <f>G53/I53</f>
        <v>2.734547533061394E-2</v>
      </c>
      <c r="I53" s="21">
        <f>C53+E53+G53</f>
        <v>76978</v>
      </c>
      <c r="J53" s="22">
        <f t="shared" si="9"/>
        <v>1</v>
      </c>
      <c r="K53" s="57"/>
      <c r="L53" s="62">
        <f>C53/$C$77</f>
        <v>0.19929562426692002</v>
      </c>
      <c r="M53" s="62">
        <f t="shared" si="7"/>
        <v>0.13966882649388049</v>
      </c>
      <c r="N53" s="62">
        <f t="shared" si="8"/>
        <v>3.463709212972866E-2</v>
      </c>
    </row>
    <row r="54" spans="1:14">
      <c r="A54" s="57"/>
      <c r="B54" s="86" t="s">
        <v>8</v>
      </c>
      <c r="C54" s="21">
        <f>'version consolidée UE'!B15</f>
        <v>125</v>
      </c>
      <c r="D54" s="22">
        <f t="shared" si="2"/>
        <v>0.84459459459459463</v>
      </c>
      <c r="E54" s="21">
        <f>'version consolidée UE'!I15</f>
        <v>18</v>
      </c>
      <c r="F54" s="22">
        <f t="shared" si="3"/>
        <v>0.12162162162162163</v>
      </c>
      <c r="G54" s="21">
        <f>'version consolidée UE'!P15+'version consolidée UE'!AJ15+'version consolidée UE'!AL15</f>
        <v>5</v>
      </c>
      <c r="H54" s="22">
        <f t="shared" si="4"/>
        <v>3.3783783783783786E-2</v>
      </c>
      <c r="I54" s="21">
        <f t="shared" si="5"/>
        <v>148</v>
      </c>
      <c r="J54" s="22">
        <f t="shared" si="9"/>
        <v>1</v>
      </c>
      <c r="K54" s="57"/>
      <c r="L54" s="62">
        <f t="shared" si="6"/>
        <v>3.8684958978469497E-4</v>
      </c>
      <c r="M54" s="62">
        <f t="shared" si="7"/>
        <v>2.3998080153587713E-4</v>
      </c>
      <c r="N54" s="62">
        <f t="shared" si="8"/>
        <v>8.2273377980353115E-5</v>
      </c>
    </row>
    <row r="55" spans="1:14">
      <c r="A55" s="57"/>
      <c r="B55" s="86" t="s">
        <v>9</v>
      </c>
      <c r="C55" s="21">
        <f>'version consolidée UE'!B16</f>
        <v>654</v>
      </c>
      <c r="D55" s="22">
        <f t="shared" si="2"/>
        <v>0.8814016172506739</v>
      </c>
      <c r="E55" s="21">
        <f>'version consolidée UE'!I16</f>
        <v>0</v>
      </c>
      <c r="F55" s="22">
        <f t="shared" si="3"/>
        <v>0</v>
      </c>
      <c r="G55" s="21">
        <f>'version consolidée UE'!P16+'version consolidée UE'!AJ16+'version consolidée UE'!AL16</f>
        <v>88</v>
      </c>
      <c r="H55" s="22">
        <f t="shared" si="4"/>
        <v>0.11859838274932614</v>
      </c>
      <c r="I55" s="21">
        <f t="shared" si="5"/>
        <v>742</v>
      </c>
      <c r="J55" s="22">
        <f t="shared" si="9"/>
        <v>1</v>
      </c>
      <c r="K55" s="57"/>
      <c r="L55" s="62">
        <f t="shared" si="6"/>
        <v>2.0239970537535242E-3</v>
      </c>
      <c r="M55" s="62">
        <f t="shared" si="7"/>
        <v>0</v>
      </c>
      <c r="N55" s="62">
        <f t="shared" si="8"/>
        <v>1.4480114524542149E-3</v>
      </c>
    </row>
    <row r="56" spans="1:14">
      <c r="A56" s="57"/>
      <c r="B56" s="86" t="s">
        <v>10</v>
      </c>
      <c r="C56" s="21">
        <f>'version consolidée UE'!B17</f>
        <v>5482</v>
      </c>
      <c r="D56" s="22">
        <f t="shared" si="2"/>
        <v>0.89707085583374246</v>
      </c>
      <c r="E56" s="21">
        <f>'version consolidée UE'!I17</f>
        <v>42</v>
      </c>
      <c r="F56" s="22">
        <f t="shared" si="3"/>
        <v>6.8728522336769758E-3</v>
      </c>
      <c r="G56" s="21">
        <f>'version consolidée UE'!P17+'version consolidée UE'!AJ17+'version consolidée UE'!AL17</f>
        <v>587</v>
      </c>
      <c r="H56" s="22">
        <f t="shared" si="4"/>
        <v>9.6056291932580598E-2</v>
      </c>
      <c r="I56" s="21">
        <f t="shared" si="5"/>
        <v>6111</v>
      </c>
      <c r="J56" s="22">
        <f t="shared" si="9"/>
        <v>1</v>
      </c>
      <c r="K56" s="57"/>
      <c r="L56" s="62">
        <f t="shared" si="6"/>
        <v>1.6965675609597584E-2</v>
      </c>
      <c r="M56" s="62">
        <f t="shared" si="7"/>
        <v>5.5995520358371326E-4</v>
      </c>
      <c r="N56" s="62">
        <f t="shared" si="8"/>
        <v>9.6588945748934552E-3</v>
      </c>
    </row>
    <row r="57" spans="1:14">
      <c r="A57" s="57"/>
      <c r="B57" s="86" t="s">
        <v>11</v>
      </c>
      <c r="C57" s="21">
        <f>'version consolidée UE'!B18</f>
        <v>4207</v>
      </c>
      <c r="D57" s="22">
        <f t="shared" si="2"/>
        <v>0.89567809239940388</v>
      </c>
      <c r="E57" s="21">
        <f>'version consolidée UE'!I18</f>
        <v>40</v>
      </c>
      <c r="F57" s="22">
        <f t="shared" si="3"/>
        <v>8.5160740898445816E-3</v>
      </c>
      <c r="G57" s="21">
        <f>'version consolidée UE'!P18+'version consolidée UE'!AJ18+'version consolidée UE'!AL18</f>
        <v>450</v>
      </c>
      <c r="H57" s="22">
        <f t="shared" si="4"/>
        <v>9.5805833510751545E-2</v>
      </c>
      <c r="I57" s="21">
        <f t="shared" si="5"/>
        <v>4697</v>
      </c>
      <c r="J57" s="22">
        <f t="shared" si="9"/>
        <v>1</v>
      </c>
      <c r="K57" s="57"/>
      <c r="L57" s="62">
        <f t="shared" si="6"/>
        <v>1.3019809793793694E-2</v>
      </c>
      <c r="M57" s="62">
        <f t="shared" si="7"/>
        <v>5.3329067007972691E-4</v>
      </c>
      <c r="N57" s="62">
        <f t="shared" si="8"/>
        <v>7.4046040182317802E-3</v>
      </c>
    </row>
    <row r="58" spans="1:14">
      <c r="A58" s="57"/>
      <c r="B58" s="86" t="s">
        <v>45</v>
      </c>
      <c r="C58" s="21">
        <f>'version consolidée UE'!B19</f>
        <v>735</v>
      </c>
      <c r="D58" s="22">
        <f t="shared" si="2"/>
        <v>0.91645885286783046</v>
      </c>
      <c r="E58" s="21">
        <f>'version consolidée UE'!I19</f>
        <v>2</v>
      </c>
      <c r="F58" s="22">
        <f t="shared" si="3"/>
        <v>2.4937655860349127E-3</v>
      </c>
      <c r="G58" s="21">
        <f>'version consolidée UE'!P19+'version consolidée UE'!AJ19+'version consolidée UE'!AL19</f>
        <v>65</v>
      </c>
      <c r="H58" s="22">
        <f t="shared" si="4"/>
        <v>8.1047381546134667E-2</v>
      </c>
      <c r="I58" s="21">
        <f t="shared" si="5"/>
        <v>802</v>
      </c>
      <c r="J58" s="22">
        <f t="shared" si="9"/>
        <v>1</v>
      </c>
      <c r="K58" s="57"/>
      <c r="L58" s="62">
        <f t="shared" si="6"/>
        <v>2.2746755879340065E-3</v>
      </c>
      <c r="M58" s="62">
        <f t="shared" si="7"/>
        <v>2.6664533503986347E-5</v>
      </c>
      <c r="N58" s="62">
        <f t="shared" si="8"/>
        <v>1.0695539137445906E-3</v>
      </c>
    </row>
    <row r="59" spans="1:14">
      <c r="A59" s="57"/>
      <c r="B59" s="86" t="s">
        <v>12</v>
      </c>
      <c r="C59" s="21">
        <f>'version consolidée UE'!B20</f>
        <v>361</v>
      </c>
      <c r="D59" s="22">
        <f t="shared" si="2"/>
        <v>0.99175824175824179</v>
      </c>
      <c r="E59" s="21">
        <f>'version consolidée UE'!I20</f>
        <v>0</v>
      </c>
      <c r="F59" s="22">
        <f t="shared" si="3"/>
        <v>0</v>
      </c>
      <c r="G59" s="21">
        <f>'version consolidée UE'!P20+'version consolidée UE'!AJ20+'version consolidée UE'!AL20</f>
        <v>3</v>
      </c>
      <c r="H59" s="22">
        <f t="shared" si="4"/>
        <v>8.241758241758242E-3</v>
      </c>
      <c r="I59" s="21">
        <f t="shared" si="5"/>
        <v>364</v>
      </c>
      <c r="J59" s="22">
        <f t="shared" si="9"/>
        <v>1</v>
      </c>
      <c r="K59" s="57"/>
      <c r="L59" s="62">
        <f t="shared" si="6"/>
        <v>1.1172216152981992E-3</v>
      </c>
      <c r="M59" s="62">
        <f t="shared" si="7"/>
        <v>0</v>
      </c>
      <c r="N59" s="62">
        <f t="shared" si="8"/>
        <v>4.9364026788211871E-5</v>
      </c>
    </row>
    <row r="60" spans="1:14">
      <c r="A60" s="57"/>
      <c r="B60" s="86" t="s">
        <v>13</v>
      </c>
      <c r="C60" s="21">
        <f>'version consolidée UE'!B21</f>
        <v>9924</v>
      </c>
      <c r="D60" s="22">
        <f t="shared" si="2"/>
        <v>0.87182640780110687</v>
      </c>
      <c r="E60" s="21">
        <f>'version consolidée UE'!I21</f>
        <v>74</v>
      </c>
      <c r="F60" s="22">
        <f t="shared" si="3"/>
        <v>6.5009224281823768E-3</v>
      </c>
      <c r="G60" s="21">
        <f>'version consolidée UE'!P21+'version consolidée UE'!AJ21+'version consolidée UE'!AL21</f>
        <v>1385</v>
      </c>
      <c r="H60" s="22">
        <f t="shared" si="4"/>
        <v>0.12167266977071071</v>
      </c>
      <c r="I60" s="21">
        <f>C60+E60+G60</f>
        <v>11383</v>
      </c>
      <c r="J60" s="22">
        <f t="shared" si="9"/>
        <v>0.99999999999999989</v>
      </c>
      <c r="K60" s="57"/>
      <c r="L60" s="62">
        <f t="shared" si="6"/>
        <v>3.0712762632186506E-2</v>
      </c>
      <c r="M60" s="62">
        <f t="shared" si="7"/>
        <v>9.8658773964749487E-4</v>
      </c>
      <c r="N60" s="62">
        <f t="shared" si="8"/>
        <v>2.2789725700557813E-2</v>
      </c>
    </row>
    <row r="61" spans="1:14">
      <c r="A61" s="57"/>
      <c r="B61" s="86" t="s">
        <v>46</v>
      </c>
      <c r="C61" s="21">
        <f>'version consolidée UE'!B22</f>
        <v>137</v>
      </c>
      <c r="D61" s="22">
        <f t="shared" si="2"/>
        <v>0.97857142857142854</v>
      </c>
      <c r="E61" s="21">
        <f>'version consolidée UE'!I22</f>
        <v>0</v>
      </c>
      <c r="F61" s="22">
        <f t="shared" si="3"/>
        <v>0</v>
      </c>
      <c r="G61" s="21">
        <f>'version consolidée UE'!P22+'version consolidée UE'!AJ22+'version consolidée UE'!AL22</f>
        <v>3</v>
      </c>
      <c r="H61" s="22">
        <f t="shared" si="4"/>
        <v>2.1428571428571429E-2</v>
      </c>
      <c r="I61" s="21">
        <f t="shared" si="5"/>
        <v>140</v>
      </c>
      <c r="J61" s="22">
        <f t="shared" si="9"/>
        <v>1</v>
      </c>
      <c r="K61" s="57"/>
      <c r="L61" s="62">
        <f t="shared" si="6"/>
        <v>4.2398715040402573E-4</v>
      </c>
      <c r="M61" s="62">
        <f t="shared" si="7"/>
        <v>0</v>
      </c>
      <c r="N61" s="62">
        <f t="shared" si="8"/>
        <v>4.9364026788211871E-5</v>
      </c>
    </row>
    <row r="62" spans="1:14">
      <c r="A62" s="57"/>
      <c r="B62" s="86" t="s">
        <v>14</v>
      </c>
      <c r="C62" s="21">
        <f>'version consolidée UE'!B23</f>
        <v>10</v>
      </c>
      <c r="D62" s="22">
        <f t="shared" si="2"/>
        <v>0.23255813953488372</v>
      </c>
      <c r="E62" s="21">
        <f>'version consolidée UE'!I23</f>
        <v>3</v>
      </c>
      <c r="F62" s="22">
        <f t="shared" si="3"/>
        <v>6.9767441860465115E-2</v>
      </c>
      <c r="G62" s="21">
        <f>'version consolidée UE'!P23+'version consolidée UE'!AJ23+'version consolidée UE'!AL23</f>
        <v>30</v>
      </c>
      <c r="H62" s="22">
        <f t="shared" si="4"/>
        <v>0.69767441860465118</v>
      </c>
      <c r="I62" s="21">
        <f t="shared" si="5"/>
        <v>43</v>
      </c>
      <c r="J62" s="22">
        <f t="shared" si="9"/>
        <v>1</v>
      </c>
      <c r="K62" s="57"/>
      <c r="L62" s="62">
        <f t="shared" si="6"/>
        <v>3.0947967182775601E-5</v>
      </c>
      <c r="M62" s="62">
        <f t="shared" si="7"/>
        <v>3.9996800255979519E-5</v>
      </c>
      <c r="N62" s="62">
        <f t="shared" si="8"/>
        <v>4.9364026788211867E-4</v>
      </c>
    </row>
    <row r="63" spans="1:14">
      <c r="A63" s="57"/>
      <c r="B63" s="86" t="s">
        <v>15</v>
      </c>
      <c r="C63" s="21">
        <f>'version consolidée UE'!B24</f>
        <v>221</v>
      </c>
      <c r="D63" s="22">
        <f t="shared" si="2"/>
        <v>0.90946502057613166</v>
      </c>
      <c r="E63" s="21">
        <f>'version consolidée UE'!I24</f>
        <v>0</v>
      </c>
      <c r="F63" s="22">
        <f t="shared" si="3"/>
        <v>0</v>
      </c>
      <c r="G63" s="21">
        <f>'version consolidée UE'!P24+'version consolidée UE'!AJ24+'version consolidée UE'!AL24</f>
        <v>22</v>
      </c>
      <c r="H63" s="22">
        <f t="shared" si="4"/>
        <v>9.0534979423868317E-2</v>
      </c>
      <c r="I63" s="21">
        <f t="shared" si="5"/>
        <v>243</v>
      </c>
      <c r="J63" s="22">
        <f t="shared" si="9"/>
        <v>1</v>
      </c>
      <c r="K63" s="57"/>
      <c r="L63" s="62">
        <f t="shared" si="6"/>
        <v>6.839500747393407E-4</v>
      </c>
      <c r="M63" s="62">
        <f t="shared" si="7"/>
        <v>0</v>
      </c>
      <c r="N63" s="62">
        <f t="shared" si="8"/>
        <v>3.6200286311355371E-4</v>
      </c>
    </row>
    <row r="64" spans="1:14">
      <c r="A64" s="57"/>
      <c r="B64" s="86" t="s">
        <v>16</v>
      </c>
      <c r="C64" s="21">
        <f>'version consolidée UE'!B25</f>
        <v>17070</v>
      </c>
      <c r="D64" s="22">
        <f t="shared" si="2"/>
        <v>0.80201090020672805</v>
      </c>
      <c r="E64" s="21">
        <f>'version consolidée UE'!I25</f>
        <v>1009</v>
      </c>
      <c r="F64" s="22">
        <f t="shared" si="3"/>
        <v>4.7406502537117083E-2</v>
      </c>
      <c r="G64" s="21">
        <f>'version consolidée UE'!P25+'version consolidée UE'!AJ25+'version consolidée UE'!AL25</f>
        <v>3205</v>
      </c>
      <c r="H64" s="22">
        <f t="shared" si="4"/>
        <v>0.15058259725615486</v>
      </c>
      <c r="I64" s="21">
        <f t="shared" si="5"/>
        <v>21284</v>
      </c>
      <c r="J64" s="22">
        <f t="shared" si="9"/>
        <v>1</v>
      </c>
      <c r="K64" s="57"/>
      <c r="L64" s="62">
        <f t="shared" si="6"/>
        <v>5.2828179980997945E-2</v>
      </c>
      <c r="M64" s="62">
        <f t="shared" si="7"/>
        <v>1.3452257152761113E-2</v>
      </c>
      <c r="N64" s="62">
        <f t="shared" si="8"/>
        <v>5.2737235285406345E-2</v>
      </c>
    </row>
    <row r="65" spans="1:14">
      <c r="A65" s="57"/>
      <c r="B65" s="86" t="s">
        <v>17</v>
      </c>
      <c r="C65" s="21">
        <f>'version consolidée UE'!B26</f>
        <v>741</v>
      </c>
      <c r="D65" s="22">
        <f t="shared" si="2"/>
        <v>0.97371879106438897</v>
      </c>
      <c r="E65" s="21">
        <f>'version consolidée UE'!I26</f>
        <v>0</v>
      </c>
      <c r="F65" s="22">
        <f t="shared" si="3"/>
        <v>0</v>
      </c>
      <c r="G65" s="21">
        <f>'version consolidée UE'!P26+'version consolidée UE'!AJ26+'version consolidée UE'!AL26</f>
        <v>20</v>
      </c>
      <c r="H65" s="22">
        <f t="shared" si="4"/>
        <v>2.6281208935611037E-2</v>
      </c>
      <c r="I65" s="21">
        <f t="shared" si="5"/>
        <v>761</v>
      </c>
      <c r="J65" s="22">
        <f t="shared" si="9"/>
        <v>1</v>
      </c>
      <c r="K65" s="57"/>
      <c r="L65" s="62">
        <f t="shared" si="6"/>
        <v>2.2932443682436719E-3</v>
      </c>
      <c r="M65" s="62">
        <f t="shared" si="7"/>
        <v>0</v>
      </c>
      <c r="N65" s="62">
        <f t="shared" si="8"/>
        <v>3.2909351192141246E-4</v>
      </c>
    </row>
    <row r="66" spans="1:14">
      <c r="A66" s="57"/>
      <c r="B66" s="86" t="s">
        <v>18</v>
      </c>
      <c r="C66" s="21">
        <f>'version consolidée UE'!B27</f>
        <v>284</v>
      </c>
      <c r="D66" s="22">
        <f t="shared" si="2"/>
        <v>0.88749999999999996</v>
      </c>
      <c r="E66" s="21">
        <f>'version consolidée UE'!I27</f>
        <v>3</v>
      </c>
      <c r="F66" s="22">
        <f t="shared" si="3"/>
        <v>9.3749999999999997E-3</v>
      </c>
      <c r="G66" s="21">
        <f>'version consolidée UE'!P27+'version consolidée UE'!AJ27+'version consolidée UE'!AL27</f>
        <v>33</v>
      </c>
      <c r="H66" s="22">
        <f t="shared" si="4"/>
        <v>0.10312499999999999</v>
      </c>
      <c r="I66" s="21">
        <f t="shared" si="5"/>
        <v>320</v>
      </c>
      <c r="J66" s="22">
        <f t="shared" si="9"/>
        <v>1</v>
      </c>
      <c r="K66" s="57"/>
      <c r="L66" s="62">
        <f t="shared" si="6"/>
        <v>8.7892226799082698E-4</v>
      </c>
      <c r="M66" s="62">
        <f t="shared" si="7"/>
        <v>3.9996800255979519E-5</v>
      </c>
      <c r="N66" s="62">
        <f t="shared" si="8"/>
        <v>5.430042946703306E-4</v>
      </c>
    </row>
    <row r="67" spans="1:14">
      <c r="A67" s="57"/>
      <c r="B67" s="86" t="s">
        <v>19</v>
      </c>
      <c r="C67" s="21">
        <f>'version consolidée UE'!B28</f>
        <v>1858</v>
      </c>
      <c r="D67" s="22">
        <f t="shared" si="2"/>
        <v>0.90944689182574645</v>
      </c>
      <c r="E67" s="21">
        <f>'version consolidée UE'!I28</f>
        <v>9</v>
      </c>
      <c r="F67" s="22">
        <f t="shared" si="3"/>
        <v>4.4052863436123352E-3</v>
      </c>
      <c r="G67" s="21">
        <f>'version consolidée UE'!P28+'version consolidée UE'!AJ28+'version consolidée UE'!AL28</f>
        <v>176</v>
      </c>
      <c r="H67" s="22">
        <f t="shared" si="4"/>
        <v>8.6147821830641208E-2</v>
      </c>
      <c r="I67" s="21">
        <f t="shared" si="5"/>
        <v>2043</v>
      </c>
      <c r="J67" s="22">
        <f t="shared" si="9"/>
        <v>1</v>
      </c>
      <c r="K67" s="57"/>
      <c r="L67" s="62">
        <f t="shared" si="6"/>
        <v>5.7501323025597063E-3</v>
      </c>
      <c r="M67" s="62">
        <f t="shared" si="7"/>
        <v>1.1999040076793856E-4</v>
      </c>
      <c r="N67" s="62">
        <f t="shared" si="8"/>
        <v>2.8960229049084297E-3</v>
      </c>
    </row>
    <row r="68" spans="1:14">
      <c r="A68" s="57"/>
      <c r="B68" s="86" t="s">
        <v>20</v>
      </c>
      <c r="C68" s="21">
        <f>'version consolidée UE'!B29</f>
        <v>5265</v>
      </c>
      <c r="D68" s="22">
        <f t="shared" si="2"/>
        <v>0.772560528246515</v>
      </c>
      <c r="E68" s="21">
        <f>'version consolidée UE'!I29</f>
        <v>16</v>
      </c>
      <c r="F68" s="22">
        <f t="shared" si="3"/>
        <v>2.3477622890682318E-3</v>
      </c>
      <c r="G68" s="21">
        <f>'version consolidée UE'!P29+'version consolidée UE'!AJ29+'version consolidée UE'!AL29</f>
        <v>1534</v>
      </c>
      <c r="H68" s="22">
        <f t="shared" si="4"/>
        <v>0.22509170946441673</v>
      </c>
      <c r="I68" s="21">
        <f>C68+E68+G68</f>
        <v>6815</v>
      </c>
      <c r="J68" s="22">
        <f t="shared" si="9"/>
        <v>0.99999999999999989</v>
      </c>
      <c r="K68" s="57"/>
      <c r="L68" s="62">
        <f t="shared" si="6"/>
        <v>1.6294104721731352E-2</v>
      </c>
      <c r="M68" s="62">
        <f t="shared" si="7"/>
        <v>2.1331626803189078E-4</v>
      </c>
      <c r="N68" s="62">
        <f t="shared" si="8"/>
        <v>2.5241472364372335E-2</v>
      </c>
    </row>
    <row r="69" spans="1:14">
      <c r="A69" s="57"/>
      <c r="B69" s="86" t="s">
        <v>21</v>
      </c>
      <c r="C69" s="21">
        <f>'version consolidée UE'!B30</f>
        <v>103808</v>
      </c>
      <c r="D69" s="22">
        <f t="shared" si="2"/>
        <v>0.9919162191602805</v>
      </c>
      <c r="E69" s="21">
        <f>'version consolidée UE'!I30</f>
        <v>287</v>
      </c>
      <c r="F69" s="22">
        <f t="shared" si="3"/>
        <v>2.7423700957440711E-3</v>
      </c>
      <c r="G69" s="21">
        <f>'version consolidée UE'!P30+'version consolidée UE'!AJ30+'version consolidée UE'!AL30</f>
        <v>559</v>
      </c>
      <c r="H69" s="22">
        <f t="shared" si="4"/>
        <v>5.3414107439753852E-3</v>
      </c>
      <c r="I69" s="21">
        <f t="shared" si="5"/>
        <v>104654</v>
      </c>
      <c r="J69" s="22">
        <f t="shared" si="9"/>
        <v>1</v>
      </c>
      <c r="K69" s="57"/>
      <c r="L69" s="62">
        <f t="shared" si="6"/>
        <v>0.32126465773095692</v>
      </c>
      <c r="M69" s="62">
        <f t="shared" si="7"/>
        <v>3.8263605578220407E-3</v>
      </c>
      <c r="N69" s="62">
        <f t="shared" si="8"/>
        <v>9.1981636582034784E-3</v>
      </c>
    </row>
    <row r="70" spans="1:14">
      <c r="A70" s="57"/>
      <c r="B70" s="86" t="s">
        <v>22</v>
      </c>
      <c r="C70" s="21">
        <f>'version consolidée UE'!B31</f>
        <v>1427</v>
      </c>
      <c r="D70" s="22">
        <f t="shared" si="2"/>
        <v>0.65398716773602195</v>
      </c>
      <c r="E70" s="21">
        <f>'version consolidée UE'!I31</f>
        <v>271</v>
      </c>
      <c r="F70" s="22">
        <f t="shared" si="3"/>
        <v>0.12419798350137488</v>
      </c>
      <c r="G70" s="21">
        <f>'version consolidée UE'!P31+'version consolidée UE'!AJ31+'version consolidée UE'!AL31</f>
        <v>484</v>
      </c>
      <c r="H70" s="22">
        <f t="shared" si="4"/>
        <v>0.22181484876260313</v>
      </c>
      <c r="I70" s="21">
        <f t="shared" si="5"/>
        <v>2182</v>
      </c>
      <c r="J70" s="22">
        <f t="shared" si="9"/>
        <v>1</v>
      </c>
      <c r="K70" s="57"/>
      <c r="L70" s="62">
        <f t="shared" si="6"/>
        <v>4.4162749169820784E-3</v>
      </c>
      <c r="M70" s="62">
        <f t="shared" si="7"/>
        <v>3.6130442897901499E-3</v>
      </c>
      <c r="N70" s="62">
        <f t="shared" si="8"/>
        <v>7.9640629884981818E-3</v>
      </c>
    </row>
    <row r="71" spans="1:14">
      <c r="A71" s="57"/>
      <c r="B71" s="86" t="s">
        <v>23</v>
      </c>
      <c r="C71" s="21">
        <f>'version consolidée UE'!B32</f>
        <v>1160</v>
      </c>
      <c r="D71" s="22">
        <f t="shared" si="2"/>
        <v>0.86956521739130432</v>
      </c>
      <c r="E71" s="21">
        <f>'version consolidée UE'!I32</f>
        <v>9</v>
      </c>
      <c r="F71" s="22">
        <f t="shared" si="3"/>
        <v>6.746626686656672E-3</v>
      </c>
      <c r="G71" s="21">
        <f>'version consolidée UE'!P32+'version consolidée UE'!AJ32+'version consolidée UE'!AL32</f>
        <v>165</v>
      </c>
      <c r="H71" s="22">
        <f t="shared" si="4"/>
        <v>0.12368815592203898</v>
      </c>
      <c r="I71" s="21">
        <f t="shared" si="5"/>
        <v>1334</v>
      </c>
      <c r="J71" s="22">
        <f t="shared" si="9"/>
        <v>1</v>
      </c>
      <c r="K71" s="57"/>
      <c r="L71" s="62">
        <f t="shared" si="6"/>
        <v>3.5899641932019694E-3</v>
      </c>
      <c r="M71" s="62">
        <f t="shared" si="7"/>
        <v>1.1999040076793856E-4</v>
      </c>
      <c r="N71" s="62">
        <f t="shared" si="8"/>
        <v>2.7150214733516528E-3</v>
      </c>
    </row>
    <row r="72" spans="1:14">
      <c r="A72" s="57"/>
      <c r="B72" s="86" t="s">
        <v>24</v>
      </c>
      <c r="C72" s="21">
        <f>'version consolidée UE'!B33</f>
        <v>1981</v>
      </c>
      <c r="D72" s="22">
        <f t="shared" si="2"/>
        <v>0.83130507763323547</v>
      </c>
      <c r="E72" s="21">
        <f>'version consolidée UE'!I33</f>
        <v>12</v>
      </c>
      <c r="F72" s="22">
        <f t="shared" si="3"/>
        <v>5.035669324381032E-3</v>
      </c>
      <c r="G72" s="21">
        <f>'version consolidée UE'!P33+'version consolidée UE'!AJ33+'version consolidée UE'!AL33</f>
        <v>390</v>
      </c>
      <c r="H72" s="22">
        <f t="shared" si="4"/>
        <v>0.16365925304238355</v>
      </c>
      <c r="I72" s="21">
        <f t="shared" si="5"/>
        <v>2383</v>
      </c>
      <c r="J72" s="22">
        <f t="shared" si="9"/>
        <v>1</v>
      </c>
      <c r="K72" s="57"/>
      <c r="L72" s="62">
        <f t="shared" si="6"/>
        <v>6.1307922989078459E-3</v>
      </c>
      <c r="M72" s="62">
        <f t="shared" si="7"/>
        <v>1.5998720102391808E-4</v>
      </c>
      <c r="N72" s="62">
        <f t="shared" si="8"/>
        <v>6.4173234824675433E-3</v>
      </c>
    </row>
    <row r="73" spans="1:14">
      <c r="A73" s="57"/>
      <c r="B73" s="86" t="s">
        <v>25</v>
      </c>
      <c r="C73" s="21">
        <f>'version consolidée UE'!B34</f>
        <v>618</v>
      </c>
      <c r="D73" s="22">
        <f t="shared" si="2"/>
        <v>0.63975155279503104</v>
      </c>
      <c r="E73" s="21">
        <f>'version consolidée UE'!I34</f>
        <v>6</v>
      </c>
      <c r="F73" s="22">
        <f t="shared" si="3"/>
        <v>6.2111801242236021E-3</v>
      </c>
      <c r="G73" s="21">
        <f>'version consolidée UE'!P34+'version consolidée UE'!AJ34+'version consolidée UE'!AL34</f>
        <v>342</v>
      </c>
      <c r="H73" s="22">
        <f t="shared" si="4"/>
        <v>0.35403726708074534</v>
      </c>
      <c r="I73" s="21">
        <f t="shared" si="5"/>
        <v>966</v>
      </c>
      <c r="J73" s="22">
        <f t="shared" si="9"/>
        <v>1</v>
      </c>
      <c r="K73" s="57"/>
      <c r="L73" s="62">
        <f t="shared" si="6"/>
        <v>1.9125843718955321E-3</v>
      </c>
      <c r="M73" s="62">
        <f t="shared" si="7"/>
        <v>7.9993600511959039E-5</v>
      </c>
      <c r="N73" s="62">
        <f t="shared" si="8"/>
        <v>5.6274990538561533E-3</v>
      </c>
    </row>
    <row r="74" spans="1:14">
      <c r="A74" s="57"/>
      <c r="B74" s="86" t="s">
        <v>26</v>
      </c>
      <c r="C74" s="21">
        <f>'version consolidée UE'!B35</f>
        <v>391</v>
      </c>
      <c r="D74" s="22">
        <f t="shared" si="2"/>
        <v>0.78514056224899598</v>
      </c>
      <c r="E74" s="21">
        <f>'version consolidée UE'!I35</f>
        <v>0</v>
      </c>
      <c r="F74" s="22">
        <f t="shared" si="3"/>
        <v>0</v>
      </c>
      <c r="G74" s="21">
        <f>'version consolidée UE'!P35+'version consolidée UE'!AJ35+'version consolidée UE'!AL35</f>
        <v>107</v>
      </c>
      <c r="H74" s="22">
        <f t="shared" si="4"/>
        <v>0.21485943775100402</v>
      </c>
      <c r="I74" s="21">
        <f t="shared" si="5"/>
        <v>498</v>
      </c>
      <c r="J74" s="22">
        <f t="shared" si="9"/>
        <v>1</v>
      </c>
      <c r="K74" s="57"/>
      <c r="L74" s="62">
        <f t="shared" si="6"/>
        <v>1.2100655168465258E-3</v>
      </c>
      <c r="M74" s="62">
        <f t="shared" si="7"/>
        <v>0</v>
      </c>
      <c r="N74" s="62">
        <f t="shared" si="8"/>
        <v>1.7606502887795568E-3</v>
      </c>
    </row>
    <row r="75" spans="1:14">
      <c r="A75" s="57"/>
      <c r="B75" s="86" t="s">
        <v>27</v>
      </c>
      <c r="C75" s="21">
        <f>'version consolidée UE'!B36</f>
        <v>322</v>
      </c>
      <c r="D75" s="22">
        <f t="shared" si="2"/>
        <v>0.92528735632183912</v>
      </c>
      <c r="E75" s="21">
        <f>'version consolidée UE'!I36</f>
        <v>0</v>
      </c>
      <c r="F75" s="22">
        <f t="shared" si="3"/>
        <v>0</v>
      </c>
      <c r="G75" s="21">
        <f>'version consolidée UE'!P36+'version consolidée UE'!AJ36+'version consolidée UE'!AL36</f>
        <v>26</v>
      </c>
      <c r="H75" s="22">
        <f t="shared" si="4"/>
        <v>7.4712643678160925E-2</v>
      </c>
      <c r="I75" s="21">
        <f t="shared" si="5"/>
        <v>348</v>
      </c>
      <c r="J75" s="22">
        <f t="shared" si="9"/>
        <v>1</v>
      </c>
      <c r="K75" s="57"/>
      <c r="L75" s="62">
        <f t="shared" si="6"/>
        <v>9.965245432853743E-4</v>
      </c>
      <c r="M75" s="62">
        <f t="shared" si="7"/>
        <v>0</v>
      </c>
      <c r="N75" s="62">
        <f t="shared" si="8"/>
        <v>4.2782156549783622E-4</v>
      </c>
    </row>
    <row r="76" spans="1:14">
      <c r="A76" s="57"/>
      <c r="B76" s="86" t="s">
        <v>28</v>
      </c>
      <c r="C76" s="21">
        <f>'version consolidée UE'!B37</f>
        <v>18783</v>
      </c>
      <c r="D76" s="22">
        <f t="shared" si="2"/>
        <v>0.83320764760679589</v>
      </c>
      <c r="E76" s="21">
        <f>'version consolidée UE'!I37</f>
        <v>1171</v>
      </c>
      <c r="F76" s="22">
        <f t="shared" si="3"/>
        <v>5.1945171450117553E-2</v>
      </c>
      <c r="G76" s="21">
        <f>'version consolidée UE'!P37+'version consolidée UE'!AJ37+'version consolidée UE'!AL37</f>
        <v>2589</v>
      </c>
      <c r="H76" s="22">
        <f t="shared" si="4"/>
        <v>0.11484718094308655</v>
      </c>
      <c r="I76" s="21">
        <f>C76+E76+G76</f>
        <v>22543</v>
      </c>
      <c r="J76" s="22">
        <f t="shared" si="9"/>
        <v>1</v>
      </c>
      <c r="K76" s="57"/>
      <c r="L76" s="62">
        <f t="shared" si="6"/>
        <v>5.8129566759407406E-2</v>
      </c>
      <c r="M76" s="62">
        <f t="shared" si="7"/>
        <v>1.5612084366584006E-2</v>
      </c>
      <c r="N76" s="62">
        <f t="shared" si="8"/>
        <v>4.2601155118226847E-2</v>
      </c>
    </row>
    <row r="77" spans="1:14">
      <c r="A77" s="57"/>
      <c r="B77" s="10" t="s">
        <v>47</v>
      </c>
      <c r="C77" s="23">
        <f>SUM(C46:C76)</f>
        <v>323123</v>
      </c>
      <c r="D77" s="22">
        <f>C77/I77</f>
        <v>0.70412201297880594</v>
      </c>
      <c r="E77" s="23">
        <f>SUM(E46:E76)</f>
        <v>75006</v>
      </c>
      <c r="F77" s="22">
        <f t="shared" si="3"/>
        <v>0.16344666181450507</v>
      </c>
      <c r="G77" s="23">
        <f>SUM(G46:G76)</f>
        <v>60773</v>
      </c>
      <c r="H77" s="22">
        <f t="shared" si="4"/>
        <v>0.13243132520668902</v>
      </c>
      <c r="I77" s="24">
        <f>SUM(I46:I76)</f>
        <v>458902</v>
      </c>
      <c r="J77" s="22">
        <f t="shared" si="9"/>
        <v>1</v>
      </c>
      <c r="K77" s="57"/>
      <c r="L77" s="6">
        <f>SUM(L46:L76)</f>
        <v>0.99999999999999978</v>
      </c>
      <c r="M77" s="6">
        <f t="shared" ref="M77:N77" si="10">SUM(M46:M76)</f>
        <v>1</v>
      </c>
      <c r="N77" s="6">
        <f t="shared" si="10"/>
        <v>1.0000000000000002</v>
      </c>
    </row>
    <row r="78" spans="1:14">
      <c r="A78"/>
      <c r="B78" s="40" t="s">
        <v>366</v>
      </c>
      <c r="C78"/>
      <c r="D78"/>
      <c r="E78"/>
      <c r="F78"/>
      <c r="G78"/>
      <c r="H78"/>
      <c r="I78"/>
      <c r="J78"/>
      <c r="K78" s="57"/>
    </row>
    <row r="79" spans="1:14">
      <c r="A79"/>
      <c r="B79"/>
      <c r="C79"/>
      <c r="D79"/>
      <c r="E79"/>
      <c r="F79"/>
      <c r="G79"/>
      <c r="H79"/>
      <c r="I79"/>
      <c r="J79"/>
      <c r="K79" s="57"/>
    </row>
  </sheetData>
  <mergeCells count="5">
    <mergeCell ref="C3:D3"/>
    <mergeCell ref="E45:F45"/>
    <mergeCell ref="G45:H45"/>
    <mergeCell ref="I45:J45"/>
    <mergeCell ref="C45:D45"/>
  </mergeCells>
  <conditionalFormatting sqref="F47 D47 H47">
    <cfRule type="colorScale" priority="9">
      <colorScale>
        <cfvo type="min" val="0"/>
        <cfvo type="percentile" val="50"/>
        <cfvo type="max" val="0"/>
        <color rgb="FFF8696B"/>
        <color rgb="FFFFEB84"/>
        <color rgb="FF63BE7B"/>
      </colorScale>
    </cfRule>
  </conditionalFormatting>
  <conditionalFormatting sqref="D48:D52 F48:F52 H48:H52">
    <cfRule type="colorScale" priority="8">
      <colorScale>
        <cfvo type="min" val="0"/>
        <cfvo type="percentile" val="50"/>
        <cfvo type="max" val="0"/>
        <color rgb="FFF8696B"/>
        <color rgb="FFFFEB84"/>
        <color rgb="FF63BE7B"/>
      </colorScale>
    </cfRule>
  </conditionalFormatting>
  <conditionalFormatting sqref="D53:D65 H53:H65 F53:F65">
    <cfRule type="colorScale" priority="7">
      <colorScale>
        <cfvo type="min" val="0"/>
        <cfvo type="percentile" val="50"/>
        <cfvo type="max" val="0"/>
        <color rgb="FFF8696B"/>
        <color rgb="FFFFEB84"/>
        <color rgb="FF63BE7B"/>
      </colorScale>
    </cfRule>
  </conditionalFormatting>
  <conditionalFormatting sqref="O52">
    <cfRule type="colorScale" priority="6">
      <colorScale>
        <cfvo type="min" val="0"/>
        <cfvo type="percentile" val="50"/>
        <cfvo type="max" val="0"/>
        <color rgb="FFF8696B"/>
        <color rgb="FFFFEB84"/>
        <color rgb="FF63BE7B"/>
      </colorScale>
    </cfRule>
  </conditionalFormatting>
  <conditionalFormatting sqref="D66:D71 H66:H71 F66:F71">
    <cfRule type="colorScale" priority="5">
      <colorScale>
        <cfvo type="min" val="0"/>
        <cfvo type="percentile" val="50"/>
        <cfvo type="max" val="0"/>
        <color rgb="FFF8696B"/>
        <color rgb="FFFFEB84"/>
        <color rgb="FF63BE7B"/>
      </colorScale>
    </cfRule>
  </conditionalFormatting>
  <conditionalFormatting sqref="L46:L76">
    <cfRule type="top10" dxfId="11" priority="73" rank="3"/>
  </conditionalFormatting>
  <conditionalFormatting sqref="M46:M76">
    <cfRule type="top10" dxfId="10" priority="74" rank="3"/>
  </conditionalFormatting>
  <conditionalFormatting sqref="N46:N76">
    <cfRule type="top10" dxfId="9" priority="75" rank="3"/>
  </conditionalFormatting>
  <conditionalFormatting sqref="D46:D77 F46:F77 H46:H77">
    <cfRule type="colorScale" priority="76">
      <colorScale>
        <cfvo type="min" val="0"/>
        <cfvo type="percentile" val="50"/>
        <cfvo type="max" val="0"/>
        <color rgb="FFF8696B"/>
        <color rgb="FFFFEB84"/>
        <color rgb="FF63BE7B"/>
      </colorScale>
    </cfRule>
    <cfRule type="colorScale" priority="77">
      <colorScale>
        <cfvo type="min" val="0"/>
        <cfvo type="percentile" val="50"/>
        <cfvo type="max" val="0"/>
        <color rgb="FF92D050"/>
        <color rgb="FFFFEB84"/>
        <color theme="9"/>
      </colorScale>
    </cfRule>
  </conditionalFormatting>
  <conditionalFormatting sqref="H46:H77">
    <cfRule type="colorScale" priority="88">
      <colorScale>
        <cfvo type="min" val="0"/>
        <cfvo type="percentile" val="50"/>
        <cfvo type="max" val="0"/>
        <color rgb="FF92D050"/>
        <color rgb="FFFFEB84"/>
        <color theme="9"/>
      </colorScale>
    </cfRule>
  </conditionalFormatting>
  <conditionalFormatting sqref="F46:F77">
    <cfRule type="colorScale" priority="90">
      <colorScale>
        <cfvo type="min" val="0"/>
        <cfvo type="percentile" val="50"/>
        <cfvo type="max" val="0"/>
        <color rgb="FF92D050"/>
        <color rgb="FFFFEB84"/>
        <color theme="9"/>
      </colorScale>
    </cfRule>
  </conditionalFormatting>
  <conditionalFormatting sqref="D46:D77">
    <cfRule type="colorScale" priority="92">
      <colorScale>
        <cfvo type="min" val="0"/>
        <cfvo type="percentile" val="50"/>
        <cfvo type="max" val="0"/>
        <color rgb="FF92D050"/>
        <color rgb="FFFFEB84"/>
        <color theme="9"/>
      </colorScale>
    </cfRule>
  </conditionalFormatting>
  <conditionalFormatting sqref="D72:D77 H72:H77 F72:F77">
    <cfRule type="colorScale" priority="94">
      <colorScale>
        <cfvo type="min" val="0"/>
        <cfvo type="percentile" val="50"/>
        <cfvo type="max" val="0"/>
        <color rgb="FFF8696B"/>
        <color rgb="FFFFEB84"/>
        <color rgb="FF63BE7B"/>
      </colorScale>
    </cfRule>
  </conditionalFormatting>
  <hyperlinks>
    <hyperlink ref="A1" location="ACCUEIL!A1" display="ACCUEIL"/>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sheetPr>
    <tabColor theme="9" tint="-0.249977111117893"/>
  </sheetPr>
  <dimension ref="A1:R83"/>
  <sheetViews>
    <sheetView zoomScale="80" zoomScaleNormal="80" workbookViewId="0"/>
  </sheetViews>
  <sheetFormatPr baseColWidth="10" defaultRowHeight="15"/>
  <cols>
    <col min="1" max="1" width="11.42578125" style="25"/>
    <col min="2" max="2" width="14.7109375" style="25" bestFit="1" customWidth="1"/>
    <col min="3" max="4" width="18.7109375" style="25" customWidth="1"/>
    <col min="5" max="6" width="14.7109375" style="25" customWidth="1"/>
    <col min="7" max="7" width="16.7109375" style="25" bestFit="1" customWidth="1"/>
    <col min="8" max="8" width="11.42578125" style="25"/>
    <col min="9" max="9" width="16.42578125" style="25" bestFit="1" customWidth="1"/>
    <col min="10" max="10" width="13.5703125" style="25" customWidth="1"/>
    <col min="11" max="11" width="14.28515625" style="25" customWidth="1"/>
    <col min="12" max="12" width="16.5703125" style="25" bestFit="1" customWidth="1"/>
    <col min="13" max="13" width="16.28515625" style="25" customWidth="1"/>
    <col min="14" max="14" width="12.140625" style="25" customWidth="1"/>
    <col min="15" max="15" width="11.42578125" style="25"/>
    <col min="16" max="17" width="21.140625" style="25" customWidth="1"/>
    <col min="18" max="18" width="22" style="25" customWidth="1"/>
    <col min="19" max="16384" width="11.42578125" style="25"/>
  </cols>
  <sheetData>
    <row r="1" spans="1:10" ht="15.75" thickBot="1">
      <c r="A1" s="28" t="s">
        <v>206</v>
      </c>
    </row>
    <row r="3" spans="1:10">
      <c r="C3" s="380" t="s">
        <v>258</v>
      </c>
      <c r="D3" s="380"/>
      <c r="E3" s="18" t="s">
        <v>187</v>
      </c>
      <c r="F3" s="1"/>
      <c r="G3" s="46" t="s">
        <v>279</v>
      </c>
    </row>
    <row r="4" spans="1:10">
      <c r="B4" s="52" t="s">
        <v>1</v>
      </c>
      <c r="C4" s="194">
        <f>'version consolidée UE'!AP7</f>
        <v>39722204.337693237</v>
      </c>
      <c r="D4" s="22">
        <f t="shared" ref="D4:D34" si="0">C4/$C$35</f>
        <v>0.10931766985862335</v>
      </c>
      <c r="E4" s="86">
        <f t="shared" ref="E4:E34" si="1">RANK(C4,$C$4:$C$34)</f>
        <v>2</v>
      </c>
      <c r="F4" s="63"/>
    </row>
    <row r="5" spans="1:10">
      <c r="B5" s="52" t="s">
        <v>3</v>
      </c>
      <c r="C5" s="194">
        <f>'version consolidée UE'!AP8</f>
        <v>2501386.09</v>
      </c>
      <c r="D5" s="22">
        <f t="shared" si="0"/>
        <v>6.8839507609121855E-3</v>
      </c>
      <c r="E5" s="86">
        <f t="shared" si="1"/>
        <v>8</v>
      </c>
      <c r="F5" s="63"/>
    </row>
    <row r="6" spans="1:10">
      <c r="B6" s="52" t="s">
        <v>4</v>
      </c>
      <c r="C6" s="194">
        <f>'version consolidée UE'!AP9</f>
        <v>203472624.97000003</v>
      </c>
      <c r="D6" s="22">
        <f t="shared" si="0"/>
        <v>0.55996774631741542</v>
      </c>
      <c r="E6" s="86">
        <f t="shared" si="1"/>
        <v>1</v>
      </c>
      <c r="F6" s="63"/>
      <c r="J6" s="25" t="str">
        <f>"Dépenses : "&amp;TEXT(ROUND(C35/1000000,2),"# ###,##")&amp;" millions d'€"</f>
        <v>Dépenses : 363,36 millions d'€</v>
      </c>
    </row>
    <row r="7" spans="1:10">
      <c r="B7" s="52" t="s">
        <v>5</v>
      </c>
      <c r="C7" s="194">
        <f>'version consolidée UE'!AP10</f>
        <v>133032.94</v>
      </c>
      <c r="D7" s="22">
        <f t="shared" si="0"/>
        <v>3.6611389669132812E-4</v>
      </c>
      <c r="E7" s="86">
        <f t="shared" si="1"/>
        <v>23</v>
      </c>
      <c r="F7" s="63"/>
    </row>
    <row r="8" spans="1:10">
      <c r="B8" s="52" t="s">
        <v>6</v>
      </c>
      <c r="C8" s="194">
        <f>'version consolidée UE'!AP11</f>
        <v>80827.64</v>
      </c>
      <c r="D8" s="22">
        <f t="shared" si="0"/>
        <v>2.2244206766206819E-4</v>
      </c>
      <c r="E8" s="86">
        <f t="shared" si="1"/>
        <v>24</v>
      </c>
      <c r="F8" s="63"/>
      <c r="J8" s="30"/>
    </row>
    <row r="9" spans="1:10">
      <c r="B9" s="52" t="s">
        <v>32</v>
      </c>
      <c r="C9" s="194">
        <f>'version consolidée UE'!AP12</f>
        <v>327595.27999999997</v>
      </c>
      <c r="D9" s="22">
        <f t="shared" si="0"/>
        <v>9.0156005346109539E-4</v>
      </c>
      <c r="E9" s="86">
        <f t="shared" si="1"/>
        <v>17</v>
      </c>
      <c r="F9" s="63"/>
    </row>
    <row r="10" spans="1:10">
      <c r="B10" s="52" t="s">
        <v>44</v>
      </c>
      <c r="C10" s="194">
        <f>'version consolidée UE'!AP13</f>
        <v>217433.78999999998</v>
      </c>
      <c r="D10" s="22">
        <f t="shared" si="0"/>
        <v>5.9838963289290546E-4</v>
      </c>
      <c r="E10" s="86">
        <f t="shared" si="1"/>
        <v>19</v>
      </c>
      <c r="F10" s="63"/>
    </row>
    <row r="11" spans="1:10">
      <c r="B11" s="52" t="s">
        <v>7</v>
      </c>
      <c r="C11" s="194">
        <f>'version consolidée UE'!AP14</f>
        <v>26206352.609999999</v>
      </c>
      <c r="D11" s="22">
        <f t="shared" si="0"/>
        <v>7.2121309745646886E-2</v>
      </c>
      <c r="E11" s="86">
        <f t="shared" si="1"/>
        <v>4</v>
      </c>
      <c r="F11" s="63"/>
    </row>
    <row r="12" spans="1:10">
      <c r="B12" s="52" t="s">
        <v>8</v>
      </c>
      <c r="C12" s="194">
        <f>'version consolidée UE'!AP15</f>
        <v>17751.96</v>
      </c>
      <c r="D12" s="22">
        <f t="shared" si="0"/>
        <v>4.8854360803486633E-5</v>
      </c>
      <c r="E12" s="86">
        <f t="shared" si="1"/>
        <v>30</v>
      </c>
      <c r="F12" s="63"/>
    </row>
    <row r="13" spans="1:10">
      <c r="B13" s="52" t="s">
        <v>9</v>
      </c>
      <c r="C13" s="194">
        <f>'version consolidée UE'!AP16</f>
        <v>327775.58000000007</v>
      </c>
      <c r="D13" s="22">
        <f t="shared" si="0"/>
        <v>9.0205624888136868E-4</v>
      </c>
      <c r="E13" s="86">
        <f t="shared" si="1"/>
        <v>16</v>
      </c>
      <c r="F13" s="63"/>
    </row>
    <row r="14" spans="1:10">
      <c r="B14" s="52" t="s">
        <v>10</v>
      </c>
      <c r="C14" s="194">
        <f>'version consolidée UE'!AP17</f>
        <v>1371412.7000000002</v>
      </c>
      <c r="D14" s="22">
        <f t="shared" si="0"/>
        <v>3.7742024461684107E-3</v>
      </c>
      <c r="E14" s="86">
        <f t="shared" si="1"/>
        <v>10</v>
      </c>
      <c r="F14" s="63"/>
    </row>
    <row r="15" spans="1:10">
      <c r="B15" s="52" t="s">
        <v>11</v>
      </c>
      <c r="C15" s="194">
        <f>'version consolidée UE'!AP18</f>
        <v>1332284.5299926614</v>
      </c>
      <c r="D15" s="22">
        <f t="shared" si="0"/>
        <v>3.6665195911417718E-3</v>
      </c>
      <c r="E15" s="86">
        <f t="shared" si="1"/>
        <v>11</v>
      </c>
      <c r="F15" s="63"/>
    </row>
    <row r="16" spans="1:10">
      <c r="B16" s="52" t="s">
        <v>45</v>
      </c>
      <c r="C16" s="194">
        <f>'version consolidée UE'!AP19</f>
        <v>70284.66</v>
      </c>
      <c r="D16" s="22">
        <f t="shared" si="0"/>
        <v>1.9342721246501146E-4</v>
      </c>
      <c r="E16" s="86">
        <f t="shared" si="1"/>
        <v>27</v>
      </c>
      <c r="F16" s="63"/>
    </row>
    <row r="17" spans="2:12">
      <c r="B17" s="52" t="s">
        <v>12</v>
      </c>
      <c r="C17" s="194">
        <f>'version consolidée UE'!AP20</f>
        <v>407413.32</v>
      </c>
      <c r="D17" s="22">
        <f t="shared" si="0"/>
        <v>1.1212236469339925E-3</v>
      </c>
      <c r="E17" s="86">
        <f t="shared" si="1"/>
        <v>15</v>
      </c>
      <c r="F17" s="63"/>
    </row>
    <row r="18" spans="2:12">
      <c r="B18" s="52" t="s">
        <v>13</v>
      </c>
      <c r="C18" s="194">
        <f>'version consolidée UE'!AP21</f>
        <v>2429660.5299999998</v>
      </c>
      <c r="D18" s="22">
        <f t="shared" si="0"/>
        <v>6.68655811316669E-3</v>
      </c>
      <c r="E18" s="86">
        <f t="shared" si="1"/>
        <v>9</v>
      </c>
      <c r="F18" s="63"/>
    </row>
    <row r="19" spans="2:12">
      <c r="B19" s="52" t="s">
        <v>46</v>
      </c>
      <c r="C19" s="194">
        <f>'version consolidée UE'!AP22</f>
        <v>11264.5</v>
      </c>
      <c r="D19" s="22">
        <f t="shared" si="0"/>
        <v>3.1000517535577769E-5</v>
      </c>
      <c r="E19" s="86">
        <f t="shared" si="1"/>
        <v>31</v>
      </c>
      <c r="F19" s="63"/>
      <c r="G19" s="40" t="s">
        <v>284</v>
      </c>
    </row>
    <row r="20" spans="2:12">
      <c r="B20" s="52" t="s">
        <v>14</v>
      </c>
      <c r="C20" s="194">
        <f>'version consolidée UE'!AP23</f>
        <v>70295.539999999994</v>
      </c>
      <c r="D20" s="22">
        <f t="shared" si="0"/>
        <v>1.9345715481760471E-4</v>
      </c>
      <c r="E20" s="86">
        <f t="shared" si="1"/>
        <v>26</v>
      </c>
      <c r="F20" s="63"/>
      <c r="G20" s="40"/>
    </row>
    <row r="21" spans="2:12">
      <c r="B21" s="52" t="s">
        <v>15</v>
      </c>
      <c r="C21" s="194">
        <f>'version consolidée UE'!AP24</f>
        <v>23357.29</v>
      </c>
      <c r="D21" s="22">
        <f t="shared" si="0"/>
        <v>6.4280534265042866E-5</v>
      </c>
      <c r="E21" s="86">
        <f t="shared" si="1"/>
        <v>29</v>
      </c>
      <c r="F21" s="63"/>
    </row>
    <row r="22" spans="2:12">
      <c r="B22" s="52" t="s">
        <v>16</v>
      </c>
      <c r="C22" s="194">
        <f>'version consolidée UE'!AP25</f>
        <v>21963679.59</v>
      </c>
      <c r="D22" s="22">
        <f t="shared" si="0"/>
        <v>6.0445242511927434E-2</v>
      </c>
      <c r="E22" s="86">
        <f t="shared" si="1"/>
        <v>6</v>
      </c>
      <c r="F22" s="63"/>
      <c r="G22" s="47"/>
    </row>
    <row r="23" spans="2:12">
      <c r="B23" s="52" t="s">
        <v>17</v>
      </c>
      <c r="C23" s="194">
        <f>'version consolidée UE'!AP26</f>
        <v>76218.300000000017</v>
      </c>
      <c r="D23" s="22">
        <f t="shared" si="0"/>
        <v>2.0975691292839698E-4</v>
      </c>
      <c r="E23" s="86">
        <f t="shared" si="1"/>
        <v>25</v>
      </c>
      <c r="F23" s="63"/>
      <c r="L23" s="71"/>
    </row>
    <row r="24" spans="2:12">
      <c r="B24" s="52" t="s">
        <v>18</v>
      </c>
      <c r="C24" s="194">
        <f>'version consolidée UE'!AP27</f>
        <v>206798.63</v>
      </c>
      <c r="D24" s="22">
        <f t="shared" si="0"/>
        <v>5.6912109331514577E-4</v>
      </c>
      <c r="E24" s="86">
        <f t="shared" si="1"/>
        <v>20</v>
      </c>
      <c r="F24" s="63"/>
    </row>
    <row r="25" spans="2:12">
      <c r="B25" s="52" t="s">
        <v>19</v>
      </c>
      <c r="C25" s="194">
        <f>'version consolidée UE'!AP28</f>
        <v>427730.56999999995</v>
      </c>
      <c r="D25" s="22">
        <f t="shared" si="0"/>
        <v>1.1771378255393203E-3</v>
      </c>
      <c r="E25" s="86">
        <f t="shared" si="1"/>
        <v>14</v>
      </c>
      <c r="F25" s="63"/>
    </row>
    <row r="26" spans="2:12">
      <c r="B26" s="52" t="s">
        <v>20</v>
      </c>
      <c r="C26" s="194">
        <f>'version consolidée UE'!AP29</f>
        <v>895812.45656656974</v>
      </c>
      <c r="D26" s="22">
        <f t="shared" si="0"/>
        <v>2.4653246720565446E-3</v>
      </c>
      <c r="E26" s="86">
        <f t="shared" si="1"/>
        <v>12</v>
      </c>
      <c r="F26" s="63"/>
    </row>
    <row r="27" spans="2:12">
      <c r="B27" s="52" t="s">
        <v>21</v>
      </c>
      <c r="C27" s="194">
        <f>'version consolidée UE'!AP30</f>
        <v>22129684.559999999</v>
      </c>
      <c r="D27" s="22">
        <f t="shared" si="0"/>
        <v>6.0902097231043069E-2</v>
      </c>
      <c r="E27" s="86">
        <f t="shared" si="1"/>
        <v>5</v>
      </c>
      <c r="F27" s="63"/>
    </row>
    <row r="28" spans="2:12">
      <c r="B28" s="52" t="s">
        <v>22</v>
      </c>
      <c r="C28" s="194">
        <f>'version consolidée UE'!AP31</f>
        <v>802289.9700000002</v>
      </c>
      <c r="D28" s="22">
        <f t="shared" si="0"/>
        <v>2.2079456952020216E-3</v>
      </c>
      <c r="E28" s="86">
        <f t="shared" si="1"/>
        <v>13</v>
      </c>
      <c r="F28" s="63"/>
    </row>
    <row r="29" spans="2:12">
      <c r="B29" s="52" t="s">
        <v>23</v>
      </c>
      <c r="C29" s="194">
        <f>'version consolidée UE'!AP32</f>
        <v>274498.68999999994</v>
      </c>
      <c r="D29" s="22">
        <f t="shared" si="0"/>
        <v>7.5543534580657158E-4</v>
      </c>
      <c r="E29" s="86">
        <f t="shared" si="1"/>
        <v>18</v>
      </c>
      <c r="F29" s="63"/>
    </row>
    <row r="30" spans="2:12">
      <c r="B30" s="52" t="s">
        <v>24</v>
      </c>
      <c r="C30" s="194">
        <f>'version consolidée UE'!AP33</f>
        <v>6042118.0699981814</v>
      </c>
      <c r="D30" s="22">
        <f t="shared" si="0"/>
        <v>1.662823802041901E-2</v>
      </c>
      <c r="E30" s="86">
        <f t="shared" si="1"/>
        <v>7</v>
      </c>
      <c r="F30" s="63"/>
    </row>
    <row r="31" spans="2:12">
      <c r="B31" s="52" t="s">
        <v>25</v>
      </c>
      <c r="C31" s="194">
        <f>'version consolidée UE'!AP34</f>
        <v>170453.65999999997</v>
      </c>
      <c r="D31" s="22">
        <f t="shared" si="0"/>
        <v>4.6909775629929519E-4</v>
      </c>
      <c r="E31" s="86">
        <f t="shared" si="1"/>
        <v>21</v>
      </c>
      <c r="F31" s="63"/>
    </row>
    <row r="32" spans="2:12">
      <c r="B32" s="52" t="s">
        <v>26</v>
      </c>
      <c r="C32" s="194">
        <f>'version consolidée UE'!AP35</f>
        <v>168049.38999999998</v>
      </c>
      <c r="D32" s="22">
        <f t="shared" si="0"/>
        <v>4.6248107430761664E-4</v>
      </c>
      <c r="E32" s="86">
        <f t="shared" si="1"/>
        <v>22</v>
      </c>
      <c r="F32" s="63"/>
    </row>
    <row r="33" spans="2:18">
      <c r="B33" s="52" t="s">
        <v>27</v>
      </c>
      <c r="C33" s="194">
        <f>'version consolidée UE'!AP36</f>
        <v>39024.860000000008</v>
      </c>
      <c r="D33" s="22">
        <f t="shared" si="0"/>
        <v>1.073985402595293E-4</v>
      </c>
      <c r="E33" s="86">
        <f t="shared" si="1"/>
        <v>28</v>
      </c>
      <c r="F33" s="63"/>
    </row>
    <row r="34" spans="2:18">
      <c r="B34" s="52" t="s">
        <v>28</v>
      </c>
      <c r="C34" s="194">
        <f>'version consolidée UE'!AP37</f>
        <v>31445584.461096823</v>
      </c>
      <c r="D34" s="22">
        <f t="shared" si="0"/>
        <v>8.6539961161411869E-2</v>
      </c>
      <c r="E34" s="86">
        <f t="shared" si="1"/>
        <v>3</v>
      </c>
      <c r="F34" s="63"/>
    </row>
    <row r="35" spans="2:18" ht="14.25" customHeight="1">
      <c r="B35" s="19" t="s">
        <v>188</v>
      </c>
      <c r="C35" s="195">
        <f>SUM(C4:C34)</f>
        <v>363364901.47534752</v>
      </c>
      <c r="D35" s="257">
        <f>SUM(D4:D34)</f>
        <v>0.99999999999999978</v>
      </c>
      <c r="E35" s="57"/>
      <c r="G35" s="72"/>
    </row>
    <row r="37" spans="2:18">
      <c r="B37" s="52" t="str">
        <f>INDEX(Europe_D,MATCH(1,Rang_Europe_D,0),1)</f>
        <v>Belgique</v>
      </c>
      <c r="C37" s="254">
        <f>INDEX(Europe_D,MATCH(1,Rang_Europe_D,0),2)</f>
        <v>203472624.97000003</v>
      </c>
      <c r="D37" s="95"/>
    </row>
    <row r="38" spans="2:18">
      <c r="B38" s="52" t="str">
        <f>INDEX(Europe_D,MATCH(2,Rang_Europe_D,0),1)</f>
        <v>Allemagne</v>
      </c>
      <c r="C38" s="254">
        <f>INDEX(Europe_D,MATCH(2,Rang_Europe_D,0),2)</f>
        <v>39722204.337693237</v>
      </c>
      <c r="D38" s="95"/>
    </row>
    <row r="39" spans="2:18">
      <c r="B39" s="52" t="str">
        <f>INDEX(Europe_D,MATCH(3,Rang_Europe_D,0),1)</f>
        <v>Suisse</v>
      </c>
      <c r="C39" s="254">
        <f>INDEX(Europe_D,MATCH(3,Rang_Europe_D,0),2)</f>
        <v>31445584.461096823</v>
      </c>
      <c r="D39" s="95"/>
    </row>
    <row r="40" spans="2:18">
      <c r="B40" s="52" t="str">
        <f>INDEX(Europe_D,MATCH(4,Rang_Europe_D,0),1)</f>
        <v>Espagne</v>
      </c>
      <c r="C40" s="254">
        <f>INDEX(Europe_D,MATCH(4,Rang_Europe_D,0),2)</f>
        <v>26206352.609999999</v>
      </c>
      <c r="D40" s="95"/>
    </row>
    <row r="41" spans="2:18">
      <c r="B41" s="52" t="str">
        <f>INDEX(Europe_D,MATCH(5,Rang_Europe_D,0),1)</f>
        <v>Portugal</v>
      </c>
      <c r="C41" s="254">
        <f>INDEX(Europe_D,MATCH(5,Rang_Europe_D,0),2)</f>
        <v>22129684.559999999</v>
      </c>
      <c r="D41" s="95"/>
    </row>
    <row r="42" spans="2:18">
      <c r="B42" s="52" t="s">
        <v>189</v>
      </c>
      <c r="C42" s="254">
        <f>C35-C37-C38-C39-C40-C41</f>
        <v>40388450.536557421</v>
      </c>
      <c r="D42" s="64"/>
      <c r="G42" s="47"/>
    </row>
    <row r="43" spans="2:18">
      <c r="C43" s="64"/>
    </row>
    <row r="44" spans="2:18">
      <c r="G44"/>
      <c r="H44"/>
      <c r="I44"/>
      <c r="J44"/>
    </row>
    <row r="45" spans="2:18">
      <c r="B45" s="209"/>
      <c r="C45" s="381" t="s">
        <v>190</v>
      </c>
      <c r="D45" s="384"/>
      <c r="E45" s="382"/>
      <c r="F45" s="381" t="s">
        <v>151</v>
      </c>
      <c r="G45" s="384"/>
      <c r="H45" s="382"/>
      <c r="I45" s="381" t="s">
        <v>191</v>
      </c>
      <c r="J45" s="384"/>
      <c r="K45" s="382"/>
      <c r="L45" s="381" t="s">
        <v>182</v>
      </c>
      <c r="M45" s="384"/>
      <c r="N45" s="382"/>
      <c r="P45" s="177" t="str">
        <f>C45</f>
        <v>Soins nécessaires</v>
      </c>
      <c r="Q45" s="177" t="str">
        <f>F45</f>
        <v>Soins programmés</v>
      </c>
      <c r="R45" s="177" t="str">
        <f>I45</f>
        <v>Soins liés à la résidence</v>
      </c>
    </row>
    <row r="46" spans="2:18">
      <c r="C46" s="210" t="s">
        <v>338</v>
      </c>
      <c r="D46" s="211" t="s">
        <v>339</v>
      </c>
      <c r="E46" s="212" t="s">
        <v>340</v>
      </c>
      <c r="F46" s="210" t="s">
        <v>338</v>
      </c>
      <c r="G46" s="211" t="s">
        <v>339</v>
      </c>
      <c r="H46" s="212" t="s">
        <v>340</v>
      </c>
      <c r="I46" s="214" t="s">
        <v>338</v>
      </c>
      <c r="J46" s="215" t="s">
        <v>339</v>
      </c>
      <c r="K46" s="216" t="s">
        <v>340</v>
      </c>
      <c r="L46" s="214" t="s">
        <v>338</v>
      </c>
      <c r="M46" s="217" t="s">
        <v>339</v>
      </c>
      <c r="N46" s="216" t="s">
        <v>340</v>
      </c>
    </row>
    <row r="47" spans="2:18">
      <c r="B47" s="86" t="s">
        <v>1</v>
      </c>
      <c r="C47" s="219">
        <f>'version consolidée UE'!C7</f>
        <v>12419447.560000002</v>
      </c>
      <c r="D47" s="219">
        <f>'version consolidée UE'!$AN7*E47</f>
        <v>0</v>
      </c>
      <c r="E47" s="22">
        <f t="shared" ref="E47:E78" si="2">C47/L47</f>
        <v>0.31265756186181559</v>
      </c>
      <c r="F47" s="219">
        <f>'version consolidée UE'!J7</f>
        <v>7328243.7400000002</v>
      </c>
      <c r="G47" s="219">
        <f>'version consolidée UE'!$AN7*H47</f>
        <v>0</v>
      </c>
      <c r="H47" s="213">
        <f t="shared" ref="H47:H78" si="3">F47/L47</f>
        <v>0.18448733805656589</v>
      </c>
      <c r="I47" s="219">
        <f>'version consolidée UE'!Q7+'version consolidée UE'!AK7+'version consolidée UE'!AM7</f>
        <v>19974513.037693232</v>
      </c>
      <c r="J47" s="219">
        <f>'version consolidée UE'!$AN7*K47</f>
        <v>0</v>
      </c>
      <c r="K47" s="213">
        <f t="shared" ref="K47:K78" si="4">I47/L47</f>
        <v>0.50285510008161849</v>
      </c>
      <c r="L47" s="219">
        <f t="shared" ref="L47:L77" si="5">C47+F47+I47</f>
        <v>39722204.337693237</v>
      </c>
      <c r="M47" s="219">
        <f>D47+G47+J47</f>
        <v>0</v>
      </c>
      <c r="N47" s="22">
        <f t="shared" ref="N47:N78" si="6">E47+H47+K47</f>
        <v>1</v>
      </c>
      <c r="O47" s="164"/>
      <c r="P47" s="62">
        <f>(C47+D47)/($C$78+$D$78)</f>
        <v>9.9036614740282886E-2</v>
      </c>
      <c r="Q47" s="62">
        <f>(F47+G47)/($F$78+$G$78)</f>
        <v>5.0610228952830252E-2</v>
      </c>
      <c r="R47" s="62">
        <f>(I47+J47)/($I$78+$J$78)</f>
        <v>0.19340241421820206</v>
      </c>
    </row>
    <row r="48" spans="2:18">
      <c r="B48" s="86" t="s">
        <v>3</v>
      </c>
      <c r="C48" s="219">
        <f>'version consolidée UE'!C8</f>
        <v>1498904.9100000001</v>
      </c>
      <c r="D48" s="219">
        <f>'version consolidée UE'!$AN8*E48</f>
        <v>0</v>
      </c>
      <c r="E48" s="22">
        <f t="shared" si="2"/>
        <v>0.59922972946571407</v>
      </c>
      <c r="F48" s="219">
        <f>'version consolidée UE'!J8</f>
        <v>52301.89</v>
      </c>
      <c r="G48" s="219">
        <f>'version consolidée UE'!$AN8*H48</f>
        <v>0</v>
      </c>
      <c r="H48" s="22">
        <f t="shared" si="3"/>
        <v>2.090916320718806E-2</v>
      </c>
      <c r="I48" s="219">
        <f>'version consolidée UE'!Q8+'version consolidée UE'!AK8+'version consolidée UE'!AM8</f>
        <v>950179.28999999992</v>
      </c>
      <c r="J48" s="219">
        <f>'version consolidée UE'!$AN8*K48</f>
        <v>0</v>
      </c>
      <c r="K48" s="22">
        <f t="shared" si="4"/>
        <v>0.37986110732709799</v>
      </c>
      <c r="L48" s="219">
        <f t="shared" si="5"/>
        <v>2501386.09</v>
      </c>
      <c r="M48" s="219">
        <f t="shared" ref="M48:M77" si="7">D48+G48+J48</f>
        <v>0</v>
      </c>
      <c r="N48" s="22">
        <f t="shared" si="6"/>
        <v>1</v>
      </c>
      <c r="O48" s="164"/>
      <c r="P48" s="62">
        <f t="shared" ref="P48:P76" si="8">(C48+D48)/($C$78+$D$78)</f>
        <v>1.195274325905591E-2</v>
      </c>
      <c r="Q48" s="62">
        <f t="shared" ref="Q48:Q77" si="9">(F48+G48)/($F$78+$G$78)</f>
        <v>3.6120668491380491E-4</v>
      </c>
      <c r="R48" s="62">
        <f t="shared" ref="R48:R77" si="10">(I48+J48)/($I$78+$J$78)</f>
        <v>9.2000725263918399E-3</v>
      </c>
    </row>
    <row r="49" spans="2:18">
      <c r="B49" s="86" t="s">
        <v>4</v>
      </c>
      <c r="C49" s="219">
        <f>'version consolidée UE'!C9</f>
        <v>44949820.689999998</v>
      </c>
      <c r="D49" s="219">
        <f>'version consolidée UE'!$AN9*E49</f>
        <v>2234518.2052175137</v>
      </c>
      <c r="E49" s="22">
        <f>C49/L49</f>
        <v>0.22091335724708613</v>
      </c>
      <c r="F49" s="219">
        <f>'version consolidée UE'!J9</f>
        <v>103834937.96000002</v>
      </c>
      <c r="G49" s="219">
        <f>'version consolidée UE'!$AN9*H49</f>
        <v>5161779.4164164253</v>
      </c>
      <c r="H49" s="22">
        <f t="shared" si="3"/>
        <v>0.51031404335256125</v>
      </c>
      <c r="I49" s="219">
        <f>'version consolidée UE'!Q9+'version consolidée UE'!AK9+'version consolidée UE'!AM9</f>
        <v>54687866.319999993</v>
      </c>
      <c r="J49" s="219">
        <f>'version consolidée UE'!$AN9*K49</f>
        <v>2718610.0193660576</v>
      </c>
      <c r="K49" s="22">
        <f t="shared" si="4"/>
        <v>0.26877259940035259</v>
      </c>
      <c r="L49" s="219">
        <f t="shared" si="5"/>
        <v>203472624.97000003</v>
      </c>
      <c r="M49" s="219">
        <f t="shared" si="7"/>
        <v>10114907.640999997</v>
      </c>
      <c r="N49" s="22">
        <f t="shared" si="6"/>
        <v>1</v>
      </c>
      <c r="O49" s="164"/>
      <c r="P49" s="62">
        <f t="shared" si="8"/>
        <v>0.37626288692510901</v>
      </c>
      <c r="Q49" s="62">
        <f t="shared" si="9"/>
        <v>0.75275182120612272</v>
      </c>
      <c r="R49" s="62">
        <f t="shared" si="10"/>
        <v>0.5558358842011436</v>
      </c>
    </row>
    <row r="50" spans="2:18">
      <c r="B50" s="86" t="s">
        <v>5</v>
      </c>
      <c r="C50" s="219">
        <f>'version consolidée UE'!C10</f>
        <v>121747.31</v>
      </c>
      <c r="D50" s="219">
        <f>'version consolidée UE'!$AN10*E50</f>
        <v>0</v>
      </c>
      <c r="E50" s="22">
        <f t="shared" si="2"/>
        <v>0.9151666497034493</v>
      </c>
      <c r="F50" s="219">
        <f>'version consolidée UE'!J10</f>
        <v>0</v>
      </c>
      <c r="G50" s="219">
        <f>'version consolidée UE'!$AN10*H50</f>
        <v>0</v>
      </c>
      <c r="H50" s="22">
        <f t="shared" si="3"/>
        <v>0</v>
      </c>
      <c r="I50" s="219">
        <f>'version consolidée UE'!Q10+'version consolidée UE'!AK10+'version consolidée UE'!AM10</f>
        <v>11285.63</v>
      </c>
      <c r="J50" s="219">
        <f>'version consolidée UE'!$AN10*K50</f>
        <v>0</v>
      </c>
      <c r="K50" s="22">
        <f t="shared" si="4"/>
        <v>8.4833350296550605E-2</v>
      </c>
      <c r="L50" s="219">
        <f t="shared" si="5"/>
        <v>133032.94</v>
      </c>
      <c r="M50" s="219">
        <f t="shared" si="7"/>
        <v>0</v>
      </c>
      <c r="N50" s="22">
        <f t="shared" si="6"/>
        <v>0.99999999999999989</v>
      </c>
      <c r="O50" s="164"/>
      <c r="P50" s="62">
        <f t="shared" si="8"/>
        <v>9.7085167257921E-4</v>
      </c>
      <c r="Q50" s="62">
        <f t="shared" si="9"/>
        <v>0</v>
      </c>
      <c r="R50" s="62">
        <f t="shared" si="10"/>
        <v>1.0927265580164723E-4</v>
      </c>
    </row>
    <row r="51" spans="2:18">
      <c r="B51" s="86" t="s">
        <v>6</v>
      </c>
      <c r="C51" s="219">
        <f>'version consolidée UE'!C11</f>
        <v>58360.17</v>
      </c>
      <c r="D51" s="219">
        <f>'version consolidée UE'!$AN11*E51</f>
        <v>0</v>
      </c>
      <c r="E51" s="22">
        <f t="shared" si="2"/>
        <v>0.72203233943240208</v>
      </c>
      <c r="F51" s="219">
        <f>'version consolidée UE'!J11</f>
        <v>6976.6</v>
      </c>
      <c r="G51" s="219">
        <f>'version consolidée UE'!$AN11*H51</f>
        <v>0</v>
      </c>
      <c r="H51" s="22">
        <f t="shared" si="3"/>
        <v>8.6314532998860299E-2</v>
      </c>
      <c r="I51" s="219">
        <f>'version consolidée UE'!Q11+'version consolidée UE'!AK11+'version consolidée UE'!AM11</f>
        <v>15490.869999999999</v>
      </c>
      <c r="J51" s="219">
        <f>'version consolidée UE'!$AN11*K51</f>
        <v>0</v>
      </c>
      <c r="K51" s="22">
        <f t="shared" si="4"/>
        <v>0.19165312756873762</v>
      </c>
      <c r="L51" s="219">
        <f t="shared" si="5"/>
        <v>80827.64</v>
      </c>
      <c r="M51" s="219">
        <f t="shared" si="7"/>
        <v>0</v>
      </c>
      <c r="N51" s="22">
        <f t="shared" si="6"/>
        <v>1</v>
      </c>
      <c r="O51" s="164"/>
      <c r="P51" s="62">
        <f t="shared" si="8"/>
        <v>4.6538250953147986E-4</v>
      </c>
      <c r="Q51" s="62">
        <f t="shared" si="9"/>
        <v>4.8181711176587528E-5</v>
      </c>
      <c r="R51" s="62">
        <f t="shared" si="10"/>
        <v>1.4998972193648588E-4</v>
      </c>
    </row>
    <row r="52" spans="2:18">
      <c r="B52" s="86" t="s">
        <v>32</v>
      </c>
      <c r="C52" s="219">
        <f>'version consolidée UE'!C12</f>
        <v>173433.11999999997</v>
      </c>
      <c r="D52" s="219">
        <f>'version consolidée UE'!$AN12*E52</f>
        <v>0</v>
      </c>
      <c r="E52" s="22">
        <f t="shared" si="2"/>
        <v>0.52941275588586012</v>
      </c>
      <c r="F52" s="219">
        <f>'version consolidée UE'!J12</f>
        <v>5024.5300000000007</v>
      </c>
      <c r="G52" s="219">
        <f>'version consolidée UE'!$AN12*H52</f>
        <v>0</v>
      </c>
      <c r="H52" s="22">
        <f t="shared" si="3"/>
        <v>1.5337614143891209E-2</v>
      </c>
      <c r="I52" s="219">
        <f>'version consolidée UE'!Q12+'version consolidée UE'!AK12+'version consolidée UE'!AM12</f>
        <v>149137.63</v>
      </c>
      <c r="J52" s="219">
        <f>'version consolidée UE'!$AN12*K52</f>
        <v>0</v>
      </c>
      <c r="K52" s="22">
        <f t="shared" si="4"/>
        <v>0.4552496299702487</v>
      </c>
      <c r="L52" s="219">
        <f t="shared" si="5"/>
        <v>327595.27999999997</v>
      </c>
      <c r="M52" s="219">
        <f t="shared" si="7"/>
        <v>0</v>
      </c>
      <c r="N52" s="22">
        <f t="shared" si="6"/>
        <v>1</v>
      </c>
      <c r="O52" s="164"/>
      <c r="P52" s="62">
        <f t="shared" si="8"/>
        <v>1.3830107181228956E-3</v>
      </c>
      <c r="Q52" s="62">
        <f t="shared" si="9"/>
        <v>3.4700348774202237E-5</v>
      </c>
      <c r="R52" s="62">
        <f t="shared" si="10"/>
        <v>1.4440190676163777E-3</v>
      </c>
    </row>
    <row r="53" spans="2:18">
      <c r="B53" s="86" t="s">
        <v>44</v>
      </c>
      <c r="C53" s="219">
        <f>'version consolidée UE'!C13</f>
        <v>162015.93</v>
      </c>
      <c r="D53" s="219">
        <f>'version consolidée UE'!$AN13*E53</f>
        <v>0</v>
      </c>
      <c r="E53" s="22">
        <f t="shared" si="2"/>
        <v>0.7451276547219271</v>
      </c>
      <c r="F53" s="219">
        <f>'version consolidée UE'!J13</f>
        <v>47263.11</v>
      </c>
      <c r="G53" s="219">
        <f>'version consolidée UE'!$AN13*H53</f>
        <v>0</v>
      </c>
      <c r="H53" s="22">
        <f t="shared" si="3"/>
        <v>0.21736782493650139</v>
      </c>
      <c r="I53" s="219">
        <f>'version consolidée UE'!Q13+'version consolidée UE'!AK13+'version consolidée UE'!AM13</f>
        <v>8154.75</v>
      </c>
      <c r="J53" s="219">
        <f>'version consolidée UE'!$AN13*K53</f>
        <v>0</v>
      </c>
      <c r="K53" s="22">
        <f t="shared" si="4"/>
        <v>3.7504520341571569E-2</v>
      </c>
      <c r="L53" s="219">
        <f t="shared" si="5"/>
        <v>217433.78999999998</v>
      </c>
      <c r="M53" s="219">
        <f t="shared" si="7"/>
        <v>0</v>
      </c>
      <c r="N53" s="22">
        <f t="shared" si="6"/>
        <v>1</v>
      </c>
      <c r="O53" s="164"/>
      <c r="P53" s="62">
        <f t="shared" si="8"/>
        <v>1.2919664231183111E-3</v>
      </c>
      <c r="Q53" s="62">
        <f t="shared" si="9"/>
        <v>3.264079229606521E-4</v>
      </c>
      <c r="R53" s="62">
        <f t="shared" si="10"/>
        <v>7.895803689279932E-5</v>
      </c>
    </row>
    <row r="54" spans="2:18">
      <c r="B54" s="86" t="s">
        <v>7</v>
      </c>
      <c r="C54" s="219">
        <f>'version consolidée UE'!C14</f>
        <v>15666650.6</v>
      </c>
      <c r="D54" s="219">
        <f>'version consolidée UE'!$AN14*E54</f>
        <v>0</v>
      </c>
      <c r="E54" s="22">
        <f t="shared" si="2"/>
        <v>0.59781881260430769</v>
      </c>
      <c r="F54" s="219">
        <f>'version consolidée UE'!J14</f>
        <v>9537429.3000000007</v>
      </c>
      <c r="G54" s="219">
        <f>'version consolidée UE'!$AN14*H54</f>
        <v>0</v>
      </c>
      <c r="H54" s="22">
        <f t="shared" si="3"/>
        <v>0.36393577702074587</v>
      </c>
      <c r="I54" s="219">
        <f>'version consolidée UE'!Q14+'version consolidée UE'!AK14+'version consolidée UE'!AM14</f>
        <v>1002272.7100000001</v>
      </c>
      <c r="J54" s="219">
        <f>'version consolidée UE'!$AN14*K54</f>
        <v>0</v>
      </c>
      <c r="K54" s="22">
        <f t="shared" si="4"/>
        <v>3.8245410374946491E-2</v>
      </c>
      <c r="L54" s="219">
        <f t="shared" si="5"/>
        <v>26206352.609999999</v>
      </c>
      <c r="M54" s="219">
        <f t="shared" si="7"/>
        <v>0</v>
      </c>
      <c r="N54" s="22">
        <f t="shared" si="6"/>
        <v>1</v>
      </c>
      <c r="O54" s="164"/>
      <c r="P54" s="62">
        <f t="shared" si="8"/>
        <v>0.12493084191120184</v>
      </c>
      <c r="Q54" s="62">
        <f t="shared" si="9"/>
        <v>6.5867279749408494E-2</v>
      </c>
      <c r="R54" s="62">
        <f t="shared" si="10"/>
        <v>9.7044649575800564E-3</v>
      </c>
    </row>
    <row r="55" spans="2:18">
      <c r="B55" s="86" t="s">
        <v>8</v>
      </c>
      <c r="C55" s="219">
        <f>'version consolidée UE'!C15</f>
        <v>13708.419999999998</v>
      </c>
      <c r="D55" s="219">
        <f>'version consolidée UE'!$AN15*E55</f>
        <v>0</v>
      </c>
      <c r="E55" s="22">
        <f t="shared" si="2"/>
        <v>0.77222008161352318</v>
      </c>
      <c r="F55" s="219">
        <f>'version consolidée UE'!J15</f>
        <v>2040.8500000000004</v>
      </c>
      <c r="G55" s="219">
        <f>'version consolidée UE'!$AN15*H55</f>
        <v>0</v>
      </c>
      <c r="H55" s="22">
        <f t="shared" si="3"/>
        <v>0.11496477008735939</v>
      </c>
      <c r="I55" s="219">
        <f>'version consolidée UE'!Q15+'version consolidée UE'!AK15+'version consolidée UE'!AM15</f>
        <v>2002.69</v>
      </c>
      <c r="J55" s="219">
        <f>'version consolidée UE'!$AN15*K55</f>
        <v>0</v>
      </c>
      <c r="K55" s="22">
        <f t="shared" si="4"/>
        <v>0.1128151482991174</v>
      </c>
      <c r="L55" s="219">
        <f t="shared" si="5"/>
        <v>17751.96</v>
      </c>
      <c r="M55" s="219">
        <f t="shared" si="7"/>
        <v>0</v>
      </c>
      <c r="N55" s="22">
        <f t="shared" si="6"/>
        <v>1</v>
      </c>
      <c r="O55" s="164"/>
      <c r="P55" s="62">
        <f t="shared" si="8"/>
        <v>1.0931528988540521E-4</v>
      </c>
      <c r="Q55" s="62">
        <f t="shared" si="9"/>
        <v>1.4094493772717178E-5</v>
      </c>
      <c r="R55" s="62">
        <f t="shared" si="10"/>
        <v>1.9390964886089737E-5</v>
      </c>
    </row>
    <row r="56" spans="2:18">
      <c r="B56" s="86" t="s">
        <v>9</v>
      </c>
      <c r="C56" s="219">
        <f>'version consolidée UE'!C16</f>
        <v>260406.56000000003</v>
      </c>
      <c r="D56" s="219">
        <f>'version consolidée UE'!$AN16*E56</f>
        <v>0</v>
      </c>
      <c r="E56" s="22">
        <f t="shared" si="2"/>
        <v>0.79446601848740539</v>
      </c>
      <c r="F56" s="219">
        <f>'version consolidée UE'!J16</f>
        <v>0</v>
      </c>
      <c r="G56" s="219">
        <f>'version consolidée UE'!$AN16*H56</f>
        <v>0</v>
      </c>
      <c r="H56" s="22">
        <f t="shared" si="3"/>
        <v>0</v>
      </c>
      <c r="I56" s="219">
        <f>'version consolidée UE'!Q16+'version consolidée UE'!AK16+'version consolidée UE'!AM16</f>
        <v>67369.02</v>
      </c>
      <c r="J56" s="219">
        <f>'version consolidée UE'!$AN16*K56</f>
        <v>0</v>
      </c>
      <c r="K56" s="22">
        <f t="shared" si="4"/>
        <v>0.20553398151259469</v>
      </c>
      <c r="L56" s="219">
        <f t="shared" si="5"/>
        <v>327775.58</v>
      </c>
      <c r="M56" s="219">
        <f t="shared" si="7"/>
        <v>0</v>
      </c>
      <c r="N56" s="22">
        <f t="shared" si="6"/>
        <v>1</v>
      </c>
      <c r="O56" s="164"/>
      <c r="P56" s="62">
        <f t="shared" si="8"/>
        <v>2.076564519795948E-3</v>
      </c>
      <c r="Q56" s="62">
        <f t="shared" si="9"/>
        <v>0</v>
      </c>
      <c r="R56" s="62">
        <f t="shared" si="10"/>
        <v>6.5229781006060706E-4</v>
      </c>
    </row>
    <row r="57" spans="2:18">
      <c r="B57" s="86" t="s">
        <v>10</v>
      </c>
      <c r="C57" s="219">
        <f>'version consolidée UE'!C17</f>
        <v>887020.55</v>
      </c>
      <c r="D57" s="219">
        <f>'version consolidée UE'!$AN17*E57</f>
        <v>0</v>
      </c>
      <c r="E57" s="22">
        <f t="shared" si="2"/>
        <v>0.64679330299332938</v>
      </c>
      <c r="F57" s="219">
        <f>'version consolidée UE'!J17</f>
        <v>54612.729999999996</v>
      </c>
      <c r="G57" s="219">
        <f>'version consolidée UE'!$AN17*H57</f>
        <v>0</v>
      </c>
      <c r="H57" s="22">
        <f t="shared" si="3"/>
        <v>3.9822243151168127E-2</v>
      </c>
      <c r="I57" s="219">
        <f>'version consolidée UE'!Q17+'version consolidée UE'!AK17+'version consolidée UE'!AM17</f>
        <v>429779.42000000004</v>
      </c>
      <c r="J57" s="219">
        <f>'version consolidée UE'!$AN17*K57</f>
        <v>0</v>
      </c>
      <c r="K57" s="22">
        <f t="shared" si="4"/>
        <v>0.3133844538555024</v>
      </c>
      <c r="L57" s="219">
        <f t="shared" si="5"/>
        <v>1371412.7000000002</v>
      </c>
      <c r="M57" s="219">
        <f t="shared" si="7"/>
        <v>0</v>
      </c>
      <c r="N57" s="22">
        <f t="shared" si="6"/>
        <v>0.99999999999999989</v>
      </c>
      <c r="O57" s="164"/>
      <c r="P57" s="62">
        <f t="shared" si="8"/>
        <v>7.0733832606209596E-3</v>
      </c>
      <c r="Q57" s="62">
        <f t="shared" si="9"/>
        <v>3.7716578038370503E-4</v>
      </c>
      <c r="R57" s="62">
        <f t="shared" si="10"/>
        <v>4.1613218431130194E-3</v>
      </c>
    </row>
    <row r="58" spans="2:18">
      <c r="B58" s="86" t="s">
        <v>11</v>
      </c>
      <c r="C58" s="219">
        <f>'version consolidée UE'!C18</f>
        <v>1251375.6799999997</v>
      </c>
      <c r="D58" s="219">
        <f>'version consolidée UE'!$AN18*E58</f>
        <v>0</v>
      </c>
      <c r="E58" s="22">
        <f t="shared" si="2"/>
        <v>0.93927059260148626</v>
      </c>
      <c r="F58" s="219">
        <f>'version consolidée UE'!J18</f>
        <v>13927.19</v>
      </c>
      <c r="G58" s="219">
        <f>'version consolidée UE'!$AN18*H58</f>
        <v>0</v>
      </c>
      <c r="H58" s="22">
        <f t="shared" si="3"/>
        <v>1.0453615340018032E-2</v>
      </c>
      <c r="I58" s="219">
        <f>'version consolidée UE'!Q18+'version consolidée UE'!AK18+'version consolidée UE'!AM18</f>
        <v>66981.659992661793</v>
      </c>
      <c r="J58" s="219">
        <f>'version consolidée UE'!$AN18*K58</f>
        <v>0</v>
      </c>
      <c r="K58" s="22">
        <f t="shared" si="4"/>
        <v>5.027579205849575E-2</v>
      </c>
      <c r="L58" s="219">
        <f t="shared" si="5"/>
        <v>1332284.5299926614</v>
      </c>
      <c r="M58" s="219">
        <f t="shared" si="7"/>
        <v>0</v>
      </c>
      <c r="N58" s="22">
        <f t="shared" si="6"/>
        <v>1</v>
      </c>
      <c r="O58" s="164"/>
      <c r="P58" s="62">
        <f t="shared" si="8"/>
        <v>9.9788666538336325E-3</v>
      </c>
      <c r="Q58" s="62">
        <f t="shared" si="9"/>
        <v>9.6183792403385323E-5</v>
      </c>
      <c r="R58" s="62">
        <f t="shared" si="10"/>
        <v>6.4854721246408904E-4</v>
      </c>
    </row>
    <row r="59" spans="2:18">
      <c r="B59" s="86" t="s">
        <v>45</v>
      </c>
      <c r="C59" s="219">
        <f>'version consolidée UE'!C19</f>
        <v>37453.46</v>
      </c>
      <c r="D59" s="219">
        <f>'version consolidée UE'!$AN19*E59</f>
        <v>0</v>
      </c>
      <c r="E59" s="22">
        <f t="shared" si="2"/>
        <v>0.53288242413067088</v>
      </c>
      <c r="F59" s="219">
        <f>'version consolidée UE'!J19</f>
        <v>36.299999999999997</v>
      </c>
      <c r="G59" s="219">
        <f>'version consolidée UE'!$AN19*H59</f>
        <v>0</v>
      </c>
      <c r="H59" s="22">
        <f t="shared" si="3"/>
        <v>5.1647116170157185E-4</v>
      </c>
      <c r="I59" s="219">
        <f>'version consolidée UE'!Q19+'version consolidée UE'!AK19+'version consolidée UE'!AM19</f>
        <v>32794.9</v>
      </c>
      <c r="J59" s="219">
        <f>'version consolidée UE'!$AN19*K59</f>
        <v>0</v>
      </c>
      <c r="K59" s="22">
        <f t="shared" si="4"/>
        <v>0.4666011047076275</v>
      </c>
      <c r="L59" s="219">
        <f t="shared" si="5"/>
        <v>70284.66</v>
      </c>
      <c r="M59" s="219">
        <f t="shared" si="7"/>
        <v>0</v>
      </c>
      <c r="N59" s="22">
        <f t="shared" si="6"/>
        <v>1</v>
      </c>
      <c r="O59" s="164"/>
      <c r="P59" s="62">
        <f t="shared" si="8"/>
        <v>2.9866577162878207E-4</v>
      </c>
      <c r="Q59" s="62">
        <f t="shared" si="9"/>
        <v>2.5069462427401984E-7</v>
      </c>
      <c r="R59" s="62">
        <f t="shared" si="10"/>
        <v>3.175352922033986E-4</v>
      </c>
    </row>
    <row r="60" spans="2:18">
      <c r="B60" s="86" t="s">
        <v>12</v>
      </c>
      <c r="C60" s="219">
        <f>'version consolidée UE'!C20</f>
        <v>407080.49</v>
      </c>
      <c r="D60" s="219">
        <f>'version consolidée UE'!$AN20*E60</f>
        <v>0</v>
      </c>
      <c r="E60" s="22">
        <f t="shared" si="2"/>
        <v>0.99918306549231128</v>
      </c>
      <c r="F60" s="219">
        <f>'version consolidée UE'!J20</f>
        <v>0</v>
      </c>
      <c r="G60" s="219">
        <f>'version consolidée UE'!$AN20*H60</f>
        <v>0</v>
      </c>
      <c r="H60" s="22">
        <f t="shared" si="3"/>
        <v>0</v>
      </c>
      <c r="I60" s="219">
        <f>'version consolidée UE'!Q20+'version consolidée UE'!AK20+'version consolidée UE'!AM20</f>
        <v>332.83</v>
      </c>
      <c r="J60" s="219">
        <f>'version consolidée UE'!$AN20*K60</f>
        <v>0</v>
      </c>
      <c r="K60" s="22">
        <f t="shared" si="4"/>
        <v>8.1693450768865377E-4</v>
      </c>
      <c r="L60" s="219">
        <f t="shared" si="5"/>
        <v>407413.32</v>
      </c>
      <c r="M60" s="219">
        <f t="shared" si="7"/>
        <v>0</v>
      </c>
      <c r="N60" s="22">
        <f t="shared" si="6"/>
        <v>0.99999999999999989</v>
      </c>
      <c r="O60" s="164"/>
      <c r="P60" s="62">
        <f t="shared" si="8"/>
        <v>3.2461889678783405E-3</v>
      </c>
      <c r="Q60" s="62">
        <f t="shared" si="9"/>
        <v>0</v>
      </c>
      <c r="R60" s="62">
        <f t="shared" si="10"/>
        <v>3.2226130070241757E-6</v>
      </c>
    </row>
    <row r="61" spans="2:18">
      <c r="B61" s="86" t="s">
        <v>13</v>
      </c>
      <c r="C61" s="219">
        <f>'version consolidée UE'!C21</f>
        <v>1505936.7</v>
      </c>
      <c r="D61" s="219">
        <f>'version consolidée UE'!$AN21*E61</f>
        <v>0</v>
      </c>
      <c r="E61" s="22">
        <f t="shared" si="2"/>
        <v>0.61981362474534663</v>
      </c>
      <c r="F61" s="219">
        <f>'version consolidée UE'!J21</f>
        <v>20429.650000000001</v>
      </c>
      <c r="G61" s="219">
        <f>'version consolidée UE'!$AN21*H61</f>
        <v>0</v>
      </c>
      <c r="H61" s="22">
        <f t="shared" si="3"/>
        <v>8.4084380298181018E-3</v>
      </c>
      <c r="I61" s="219">
        <f>'version consolidée UE'!Q21+'version consolidée UE'!AK21+'version consolidée UE'!AM21</f>
        <v>903294.18</v>
      </c>
      <c r="J61" s="219">
        <f>'version consolidée UE'!$AN21*K61</f>
        <v>0</v>
      </c>
      <c r="K61" s="22">
        <f t="shared" si="4"/>
        <v>0.37177793722483532</v>
      </c>
      <c r="L61" s="219">
        <f t="shared" si="5"/>
        <v>2429660.5299999998</v>
      </c>
      <c r="M61" s="219">
        <f t="shared" si="7"/>
        <v>0</v>
      </c>
      <c r="N61" s="22">
        <f t="shared" si="6"/>
        <v>1</v>
      </c>
      <c r="O61" s="164"/>
      <c r="P61" s="62">
        <f t="shared" si="8"/>
        <v>1.2008816983253396E-2</v>
      </c>
      <c r="Q61" s="62">
        <f t="shared" si="9"/>
        <v>1.4109100360329836E-4</v>
      </c>
      <c r="R61" s="62">
        <f t="shared" si="10"/>
        <v>8.7461093460242095E-3</v>
      </c>
    </row>
    <row r="62" spans="2:18">
      <c r="B62" s="86" t="s">
        <v>46</v>
      </c>
      <c r="C62" s="219">
        <f>'version consolidée UE'!C22</f>
        <v>11128.27</v>
      </c>
      <c r="D62" s="219">
        <f>'version consolidée UE'!$AN22*E62</f>
        <v>0</v>
      </c>
      <c r="E62" s="22">
        <f t="shared" si="2"/>
        <v>0.98790625416130329</v>
      </c>
      <c r="F62" s="219">
        <f>'version consolidée UE'!J22</f>
        <v>0</v>
      </c>
      <c r="G62" s="219">
        <f>'version consolidée UE'!$AN22*H62</f>
        <v>0</v>
      </c>
      <c r="H62" s="22">
        <f t="shared" si="3"/>
        <v>0</v>
      </c>
      <c r="I62" s="219">
        <f>'version consolidée UE'!Q22+'version consolidée UE'!AK22+'version consolidée UE'!AM22</f>
        <v>136.22999999999999</v>
      </c>
      <c r="J62" s="219">
        <f>'version consolidée UE'!$AN22*K62</f>
        <v>0</v>
      </c>
      <c r="K62" s="22">
        <f t="shared" si="4"/>
        <v>1.209374583869679E-2</v>
      </c>
      <c r="L62" s="219">
        <f t="shared" si="5"/>
        <v>11264.5</v>
      </c>
      <c r="M62" s="219">
        <f t="shared" si="7"/>
        <v>0</v>
      </c>
      <c r="N62" s="22">
        <f t="shared" si="6"/>
        <v>1</v>
      </c>
      <c r="O62" s="164"/>
      <c r="P62" s="62">
        <f t="shared" si="8"/>
        <v>8.8740355268736908E-5</v>
      </c>
      <c r="Q62" s="62">
        <f t="shared" si="9"/>
        <v>0</v>
      </c>
      <c r="R62" s="62">
        <f t="shared" si="10"/>
        <v>1.3190414624490084E-6</v>
      </c>
    </row>
    <row r="63" spans="2:18">
      <c r="B63" s="86" t="s">
        <v>14</v>
      </c>
      <c r="C63" s="219">
        <f>'version consolidée UE'!C23</f>
        <v>4589.6000000000004</v>
      </c>
      <c r="D63" s="219">
        <f>'version consolidée UE'!$AN23*E63</f>
        <v>0</v>
      </c>
      <c r="E63" s="22">
        <f t="shared" si="2"/>
        <v>6.5290059653855717E-2</v>
      </c>
      <c r="F63" s="219">
        <f>'version consolidée UE'!J23</f>
        <v>24423.07</v>
      </c>
      <c r="G63" s="219">
        <f>'version consolidée UE'!$AN23*H63</f>
        <v>0</v>
      </c>
      <c r="H63" s="22">
        <f t="shared" si="3"/>
        <v>0.34743413309009363</v>
      </c>
      <c r="I63" s="219">
        <f>'version consolidée UE'!Q23+'version consolidée UE'!AK23+'version consolidée UE'!AM23</f>
        <v>41282.869999999995</v>
      </c>
      <c r="J63" s="219">
        <f>'version consolidée UE'!$AN23*K63</f>
        <v>0</v>
      </c>
      <c r="K63" s="22">
        <f t="shared" si="4"/>
        <v>0.58727580725605066</v>
      </c>
      <c r="L63" s="219">
        <f t="shared" si="5"/>
        <v>70295.539999999994</v>
      </c>
      <c r="M63" s="219">
        <f t="shared" si="7"/>
        <v>0</v>
      </c>
      <c r="N63" s="22">
        <f t="shared" si="6"/>
        <v>1</v>
      </c>
      <c r="O63" s="164"/>
      <c r="P63" s="62">
        <f t="shared" si="8"/>
        <v>3.6598926386706554E-5</v>
      </c>
      <c r="Q63" s="62">
        <f t="shared" si="9"/>
        <v>1.6867031287239907E-4</v>
      </c>
      <c r="R63" s="62">
        <f t="shared" si="10"/>
        <v>3.9971971826244067E-4</v>
      </c>
    </row>
    <row r="64" spans="2:18">
      <c r="B64" s="86" t="s">
        <v>15</v>
      </c>
      <c r="C64" s="219">
        <f>'version consolidée UE'!C24</f>
        <v>20081.45</v>
      </c>
      <c r="D64" s="219">
        <f>'version consolidée UE'!$AN24*E64</f>
        <v>0</v>
      </c>
      <c r="E64" s="22">
        <f t="shared" si="2"/>
        <v>0.85975085294569709</v>
      </c>
      <c r="F64" s="219">
        <f>'version consolidée UE'!J24</f>
        <v>0</v>
      </c>
      <c r="G64" s="219">
        <f>'version consolidée UE'!$AN24*H64</f>
        <v>0</v>
      </c>
      <c r="H64" s="22">
        <f t="shared" si="3"/>
        <v>0</v>
      </c>
      <c r="I64" s="219">
        <f>'version consolidée UE'!Q24+'version consolidée UE'!AK24+'version consolidée UE'!AM24</f>
        <v>3275.84</v>
      </c>
      <c r="J64" s="219">
        <f>'version consolidée UE'!$AN24*K64</f>
        <v>0</v>
      </c>
      <c r="K64" s="22">
        <f t="shared" si="4"/>
        <v>0.14024914705430297</v>
      </c>
      <c r="L64" s="219">
        <f t="shared" si="5"/>
        <v>23357.29</v>
      </c>
      <c r="M64" s="219">
        <f t="shared" si="7"/>
        <v>0</v>
      </c>
      <c r="N64" s="22">
        <f t="shared" si="6"/>
        <v>1</v>
      </c>
      <c r="O64" s="164"/>
      <c r="P64" s="62">
        <f t="shared" si="8"/>
        <v>1.601358528604515E-4</v>
      </c>
      <c r="Q64" s="62">
        <f t="shared" si="9"/>
        <v>0</v>
      </c>
      <c r="R64" s="62">
        <f t="shared" si="10"/>
        <v>3.1718188243037217E-5</v>
      </c>
    </row>
    <row r="65" spans="2:18">
      <c r="B65" s="86" t="s">
        <v>16</v>
      </c>
      <c r="C65" s="219">
        <f>'version consolidée UE'!C25</f>
        <v>5278970.08</v>
      </c>
      <c r="D65" s="219">
        <f>'version consolidée UE'!$AN25*E65</f>
        <v>0</v>
      </c>
      <c r="E65" s="22">
        <f t="shared" si="2"/>
        <v>0.24034998591053477</v>
      </c>
      <c r="F65" s="219">
        <f>'version consolidée UE'!J25</f>
        <v>6674791.2299999995</v>
      </c>
      <c r="G65" s="219">
        <f>'version consolidée UE'!$AN25*H65</f>
        <v>0</v>
      </c>
      <c r="H65" s="22">
        <f t="shared" si="3"/>
        <v>0.30390132047997154</v>
      </c>
      <c r="I65" s="219">
        <f>'version consolidée UE'!Q25+'version consolidée UE'!AK25+'version consolidée UE'!AM25</f>
        <v>10009918.280000001</v>
      </c>
      <c r="J65" s="219">
        <f>'version consolidée UE'!$AN25*K65</f>
        <v>0</v>
      </c>
      <c r="K65" s="22">
        <f t="shared" si="4"/>
        <v>0.45574869360949377</v>
      </c>
      <c r="L65" s="219">
        <f t="shared" si="5"/>
        <v>21963679.59</v>
      </c>
      <c r="M65" s="219">
        <f t="shared" si="7"/>
        <v>0</v>
      </c>
      <c r="N65" s="22">
        <f t="shared" si="6"/>
        <v>1</v>
      </c>
      <c r="O65" s="164"/>
      <c r="P65" s="62">
        <f t="shared" si="8"/>
        <v>4.2096182097687465E-2</v>
      </c>
      <c r="Q65" s="62">
        <f t="shared" si="9"/>
        <v>4.6097363071966192E-2</v>
      </c>
      <c r="R65" s="62">
        <f t="shared" si="10"/>
        <v>9.6920628694459846E-2</v>
      </c>
    </row>
    <row r="66" spans="2:18">
      <c r="B66" s="86" t="s">
        <v>17</v>
      </c>
      <c r="C66" s="219">
        <f>'version consolidée UE'!C26</f>
        <v>73254.87000000001</v>
      </c>
      <c r="D66" s="219">
        <f>'version consolidée UE'!$AN26*E66</f>
        <v>0</v>
      </c>
      <c r="E66" s="22">
        <f t="shared" si="2"/>
        <v>0.9611191800394393</v>
      </c>
      <c r="F66" s="219">
        <f>'version consolidée UE'!J26</f>
        <v>0</v>
      </c>
      <c r="G66" s="219">
        <f>'version consolidée UE'!$AN26*H66</f>
        <v>0</v>
      </c>
      <c r="H66" s="22">
        <f t="shared" si="3"/>
        <v>0</v>
      </c>
      <c r="I66" s="219">
        <f>'version consolidée UE'!Q26+'version consolidée UE'!AK26+'version consolidée UE'!AM26</f>
        <v>2963.4300000000003</v>
      </c>
      <c r="J66" s="219">
        <f>'version consolidée UE'!$AN26*K66</f>
        <v>0</v>
      </c>
      <c r="K66" s="22">
        <f t="shared" si="4"/>
        <v>3.8880819960560649E-2</v>
      </c>
      <c r="L66" s="219">
        <f t="shared" si="5"/>
        <v>76218.300000000017</v>
      </c>
      <c r="M66" s="219">
        <f t="shared" si="7"/>
        <v>0</v>
      </c>
      <c r="N66" s="22">
        <f t="shared" si="6"/>
        <v>1</v>
      </c>
      <c r="O66" s="164"/>
      <c r="P66" s="62">
        <f t="shared" si="8"/>
        <v>5.8415757246770049E-4</v>
      </c>
      <c r="Q66" s="62">
        <f t="shared" si="9"/>
        <v>0</v>
      </c>
      <c r="R66" s="62">
        <f t="shared" si="10"/>
        <v>2.8693291059717138E-5</v>
      </c>
    </row>
    <row r="67" spans="2:18">
      <c r="B67" s="86" t="s">
        <v>18</v>
      </c>
      <c r="C67" s="219">
        <f>'version consolidée UE'!C27</f>
        <v>201889.08000000002</v>
      </c>
      <c r="D67" s="219">
        <f>'version consolidée UE'!$AN27*E67</f>
        <v>0</v>
      </c>
      <c r="E67" s="22">
        <f t="shared" si="2"/>
        <v>0.9762592721238047</v>
      </c>
      <c r="F67" s="219">
        <f>'version consolidée UE'!J27</f>
        <v>2175.0499999999997</v>
      </c>
      <c r="G67" s="219">
        <f>'version consolidée UE'!$AN27*H67</f>
        <v>0</v>
      </c>
      <c r="H67" s="22">
        <f t="shared" si="3"/>
        <v>1.0517719580637453E-2</v>
      </c>
      <c r="I67" s="219">
        <f>'version consolidée UE'!Q27+'version consolidée UE'!AK27+'version consolidée UE'!AM27</f>
        <v>2734.5</v>
      </c>
      <c r="J67" s="219">
        <f>'version consolidée UE'!$AN27*K67</f>
        <v>0</v>
      </c>
      <c r="K67" s="22">
        <f t="shared" si="4"/>
        <v>1.3223008295557857E-2</v>
      </c>
      <c r="L67" s="219">
        <f t="shared" si="5"/>
        <v>206798.63</v>
      </c>
      <c r="M67" s="219">
        <f t="shared" si="7"/>
        <v>0</v>
      </c>
      <c r="N67" s="22">
        <f t="shared" si="6"/>
        <v>1</v>
      </c>
      <c r="O67" s="164"/>
      <c r="P67" s="62">
        <f t="shared" si="8"/>
        <v>1.6099275704200605E-3</v>
      </c>
      <c r="Q67" s="62">
        <f t="shared" si="9"/>
        <v>1.5021304201851428E-5</v>
      </c>
      <c r="R67" s="62">
        <f t="shared" si="10"/>
        <v>2.6476685598376375E-5</v>
      </c>
    </row>
    <row r="68" spans="2:18">
      <c r="B68" s="86" t="s">
        <v>19</v>
      </c>
      <c r="C68" s="219">
        <f>'version consolidée UE'!C28</f>
        <v>378476.76999999996</v>
      </c>
      <c r="D68" s="219">
        <f>'version consolidée UE'!$AN28*E68</f>
        <v>0</v>
      </c>
      <c r="E68" s="22">
        <f t="shared" si="2"/>
        <v>0.88484853911657524</v>
      </c>
      <c r="F68" s="219">
        <f>'version consolidée UE'!J28</f>
        <v>42774.64</v>
      </c>
      <c r="G68" s="219">
        <f>'version consolidée UE'!$AN28*H68</f>
        <v>0</v>
      </c>
      <c r="H68" s="22">
        <f t="shared" si="3"/>
        <v>0.10000370092789955</v>
      </c>
      <c r="I68" s="219">
        <f>'version consolidée UE'!Q28+'version consolidée UE'!AK28+'version consolidée UE'!AM28</f>
        <v>6479.16</v>
      </c>
      <c r="J68" s="219">
        <f>'version consolidée UE'!$AN28*K68</f>
        <v>0</v>
      </c>
      <c r="K68" s="22">
        <f t="shared" si="4"/>
        <v>1.5147759955525275E-2</v>
      </c>
      <c r="L68" s="219">
        <f t="shared" si="5"/>
        <v>427730.56999999995</v>
      </c>
      <c r="M68" s="219">
        <f t="shared" si="7"/>
        <v>0</v>
      </c>
      <c r="N68" s="22">
        <f t="shared" si="6"/>
        <v>1</v>
      </c>
      <c r="O68" s="164"/>
      <c r="P68" s="62">
        <f t="shared" si="8"/>
        <v>3.0180938304663727E-3</v>
      </c>
      <c r="Q68" s="62">
        <f t="shared" si="9"/>
        <v>2.9540970532386946E-4</v>
      </c>
      <c r="R68" s="62">
        <f t="shared" si="10"/>
        <v>6.2734204520598387E-5</v>
      </c>
    </row>
    <row r="69" spans="2:18">
      <c r="B69" s="86" t="s">
        <v>20</v>
      </c>
      <c r="C69" s="219">
        <f>'version consolidée UE'!C29</f>
        <v>664481.04</v>
      </c>
      <c r="D69" s="219">
        <f>'version consolidée UE'!$AN29*E69</f>
        <v>0</v>
      </c>
      <c r="E69" s="22">
        <f t="shared" si="2"/>
        <v>0.74176356348827022</v>
      </c>
      <c r="F69" s="219">
        <f>'version consolidée UE'!J29</f>
        <v>4273.38</v>
      </c>
      <c r="G69" s="219">
        <f>'version consolidée UE'!$AN29*H69</f>
        <v>0</v>
      </c>
      <c r="H69" s="22">
        <f t="shared" si="3"/>
        <v>4.7703958218875651E-3</v>
      </c>
      <c r="I69" s="219">
        <f>'version consolidée UE'!Q29+'version consolidée UE'!AK29+'version consolidée UE'!AM29</f>
        <v>227058.0365665697</v>
      </c>
      <c r="J69" s="219">
        <f>'version consolidée UE'!$AN29*K69</f>
        <v>0</v>
      </c>
      <c r="K69" s="22">
        <f t="shared" si="4"/>
        <v>0.25346604068984224</v>
      </c>
      <c r="L69" s="219">
        <f t="shared" si="5"/>
        <v>895812.45656656974</v>
      </c>
      <c r="M69" s="219">
        <f t="shared" si="7"/>
        <v>0</v>
      </c>
      <c r="N69" s="22">
        <f t="shared" si="6"/>
        <v>1</v>
      </c>
      <c r="O69" s="164"/>
      <c r="P69" s="62">
        <f t="shared" si="8"/>
        <v>5.2987826103194635E-3</v>
      </c>
      <c r="Q69" s="62">
        <f t="shared" si="9"/>
        <v>2.9512765660609121E-5</v>
      </c>
      <c r="R69" s="62">
        <f t="shared" si="10"/>
        <v>2.1984802511456252E-3</v>
      </c>
    </row>
    <row r="70" spans="2:18">
      <c r="B70" s="86" t="s">
        <v>21</v>
      </c>
      <c r="C70" s="219">
        <f>'version consolidée UE'!C30</f>
        <v>21812723.509999998</v>
      </c>
      <c r="D70" s="219">
        <f>'version consolidée UE'!$AN30*E70</f>
        <v>0</v>
      </c>
      <c r="E70" s="22">
        <f t="shared" si="2"/>
        <v>0.98567710944362419</v>
      </c>
      <c r="F70" s="219">
        <f>'version consolidée UE'!J30</f>
        <v>109606.62</v>
      </c>
      <c r="G70" s="219">
        <f>'version consolidée UE'!$AN30*H70</f>
        <v>0</v>
      </c>
      <c r="H70" s="22">
        <f t="shared" si="3"/>
        <v>4.9529228355164592E-3</v>
      </c>
      <c r="I70" s="219">
        <f>'version consolidée UE'!Q30+'version consolidée UE'!AK30+'version consolidée UE'!AM30</f>
        <v>207354.43000000002</v>
      </c>
      <c r="J70" s="219">
        <f>'version consolidée UE'!$AN30*K70</f>
        <v>0</v>
      </c>
      <c r="K70" s="22">
        <f t="shared" si="4"/>
        <v>9.3699677208593721E-3</v>
      </c>
      <c r="L70" s="219">
        <f t="shared" si="5"/>
        <v>22129684.559999999</v>
      </c>
      <c r="M70" s="219">
        <f t="shared" si="7"/>
        <v>0</v>
      </c>
      <c r="N70" s="22">
        <f t="shared" si="6"/>
        <v>1</v>
      </c>
      <c r="O70" s="164"/>
      <c r="P70" s="62">
        <f t="shared" si="8"/>
        <v>0.17394157705161087</v>
      </c>
      <c r="Q70" s="62">
        <f t="shared" si="9"/>
        <v>7.5696392338416723E-4</v>
      </c>
      <c r="R70" s="62">
        <f t="shared" si="10"/>
        <v>2.0077008778718389E-3</v>
      </c>
    </row>
    <row r="71" spans="2:18">
      <c r="B71" s="86" t="s">
        <v>22</v>
      </c>
      <c r="C71" s="219">
        <f>'version consolidée UE'!C31</f>
        <v>312334.89</v>
      </c>
      <c r="D71" s="219">
        <f>'version consolidée UE'!$AN31*E71</f>
        <v>0</v>
      </c>
      <c r="E71" s="22">
        <f t="shared" si="2"/>
        <v>0.38930424370131406</v>
      </c>
      <c r="F71" s="219">
        <f>'version consolidée UE'!J31</f>
        <v>381732.77000000008</v>
      </c>
      <c r="G71" s="219">
        <f>'version consolidée UE'!$AN31*H71</f>
        <v>0</v>
      </c>
      <c r="H71" s="22">
        <f t="shared" si="3"/>
        <v>0.47580399141721785</v>
      </c>
      <c r="I71" s="219">
        <f>'version consolidée UE'!Q31+'version consolidée UE'!AK31+'version consolidée UE'!AM31</f>
        <v>108222.31000000001</v>
      </c>
      <c r="J71" s="219">
        <f>'version consolidée UE'!$AN31*K71</f>
        <v>0</v>
      </c>
      <c r="K71" s="22">
        <f t="shared" si="4"/>
        <v>0.13489176488146795</v>
      </c>
      <c r="L71" s="219">
        <f t="shared" si="5"/>
        <v>802289.9700000002</v>
      </c>
      <c r="M71" s="219">
        <f t="shared" si="7"/>
        <v>0</v>
      </c>
      <c r="N71" s="22">
        <f t="shared" si="6"/>
        <v>0.99999999999999989</v>
      </c>
      <c r="O71" s="164"/>
      <c r="P71" s="62">
        <f t="shared" si="8"/>
        <v>2.4906574967557276E-3</v>
      </c>
      <c r="Q71" s="62">
        <f t="shared" si="9"/>
        <v>2.6363182740559467E-3</v>
      </c>
      <c r="R71" s="62">
        <f t="shared" si="10"/>
        <v>1.0478581373560153E-3</v>
      </c>
    </row>
    <row r="72" spans="2:18">
      <c r="B72" s="86" t="s">
        <v>23</v>
      </c>
      <c r="C72" s="219">
        <f>'version consolidée UE'!C32</f>
        <v>248833.70999999996</v>
      </c>
      <c r="D72" s="219">
        <f>'version consolidée UE'!$AN32*E72</f>
        <v>0</v>
      </c>
      <c r="E72" s="22">
        <f t="shared" si="2"/>
        <v>0.9065023589001463</v>
      </c>
      <c r="F72" s="219">
        <f>'version consolidée UE'!J32</f>
        <v>5087.63</v>
      </c>
      <c r="G72" s="219">
        <f>'version consolidée UE'!$AN32*H72</f>
        <v>0</v>
      </c>
      <c r="H72" s="22">
        <f t="shared" si="3"/>
        <v>1.8534259671694614E-2</v>
      </c>
      <c r="I72" s="219">
        <f>'version consolidée UE'!Q32+'version consolidée UE'!AK32+'version consolidée UE'!AM32</f>
        <v>20577.349999999999</v>
      </c>
      <c r="J72" s="219">
        <f>'version consolidée UE'!$AN32*K72</f>
        <v>0</v>
      </c>
      <c r="K72" s="22">
        <f t="shared" si="4"/>
        <v>7.4963381428159101E-2</v>
      </c>
      <c r="L72" s="219">
        <f t="shared" si="5"/>
        <v>274498.68999999994</v>
      </c>
      <c r="M72" s="219">
        <f t="shared" si="7"/>
        <v>0</v>
      </c>
      <c r="N72" s="22">
        <f t="shared" si="6"/>
        <v>1</v>
      </c>
      <c r="O72" s="164"/>
      <c r="P72" s="62">
        <f t="shared" si="8"/>
        <v>1.9842789425703949E-3</v>
      </c>
      <c r="Q72" s="62">
        <f t="shared" si="9"/>
        <v>3.5136129236783246E-5</v>
      </c>
      <c r="R72" s="62">
        <f t="shared" si="10"/>
        <v>1.9923935871192177E-4</v>
      </c>
    </row>
    <row r="73" spans="2:18">
      <c r="B73" s="86" t="s">
        <v>24</v>
      </c>
      <c r="C73" s="219">
        <f>'version consolidée UE'!C33</f>
        <v>289561.69999999995</v>
      </c>
      <c r="D73" s="219">
        <f>'version consolidée UE'!$AN33*E73</f>
        <v>0</v>
      </c>
      <c r="E73" s="22">
        <f t="shared" si="2"/>
        <v>4.7923873159282225E-2</v>
      </c>
      <c r="F73" s="219">
        <f>'version consolidée UE'!J33</f>
        <v>19225.38</v>
      </c>
      <c r="G73" s="219">
        <f>'version consolidée UE'!$AN33*H73</f>
        <v>0</v>
      </c>
      <c r="H73" s="22">
        <f t="shared" si="3"/>
        <v>3.1818941267405237E-3</v>
      </c>
      <c r="I73" s="219">
        <f>'version consolidée UE'!Q33+'version consolidée UE'!AK33+'version consolidée UE'!AM33</f>
        <v>5733330.9899981814</v>
      </c>
      <c r="J73" s="219">
        <f>'version consolidée UE'!$AN33*K73</f>
        <v>0</v>
      </c>
      <c r="K73" s="22">
        <f t="shared" si="4"/>
        <v>0.94889423271397721</v>
      </c>
      <c r="L73" s="219">
        <f t="shared" si="5"/>
        <v>6042118.0699981814</v>
      </c>
      <c r="M73" s="219">
        <f t="shared" si="7"/>
        <v>0</v>
      </c>
      <c r="N73" s="22">
        <f t="shared" si="6"/>
        <v>1</v>
      </c>
      <c r="O73" s="164"/>
      <c r="P73" s="62">
        <f t="shared" si="8"/>
        <v>2.3090568552182333E-3</v>
      </c>
      <c r="Q73" s="62">
        <f t="shared" si="9"/>
        <v>1.3277408858471782E-4</v>
      </c>
      <c r="R73" s="62">
        <f t="shared" si="10"/>
        <v>5.5512745311248793E-2</v>
      </c>
    </row>
    <row r="74" spans="2:18">
      <c r="B74" s="86" t="s">
        <v>25</v>
      </c>
      <c r="C74" s="219">
        <f>'version consolidée UE'!C34</f>
        <v>106960.10999999999</v>
      </c>
      <c r="D74" s="219">
        <f>'version consolidée UE'!$AN34*E74</f>
        <v>0</v>
      </c>
      <c r="E74" s="22">
        <f t="shared" si="2"/>
        <v>0.62750257166669232</v>
      </c>
      <c r="F74" s="219">
        <f>'version consolidée UE'!J34</f>
        <v>1233.9100000000001</v>
      </c>
      <c r="G74" s="219">
        <f>'version consolidée UE'!$AN34*H74</f>
        <v>0</v>
      </c>
      <c r="H74" s="22">
        <f t="shared" si="3"/>
        <v>7.2389762707354022E-3</v>
      </c>
      <c r="I74" s="219">
        <f>'version consolidée UE'!Q34+'version consolidée UE'!AK34+'version consolidée UE'!AM34</f>
        <v>62259.64</v>
      </c>
      <c r="J74" s="219">
        <f>'version consolidée UE'!$AN34*K74</f>
        <v>0</v>
      </c>
      <c r="K74" s="22">
        <f t="shared" si="4"/>
        <v>0.36525845206257235</v>
      </c>
      <c r="L74" s="219">
        <f t="shared" si="5"/>
        <v>170453.65999999997</v>
      </c>
      <c r="M74" s="219">
        <f t="shared" si="7"/>
        <v>0</v>
      </c>
      <c r="N74" s="22">
        <f t="shared" si="6"/>
        <v>1</v>
      </c>
      <c r="O74" s="164"/>
      <c r="P74" s="62">
        <f t="shared" si="8"/>
        <v>8.529338487458677E-4</v>
      </c>
      <c r="Q74" s="62">
        <f t="shared" si="9"/>
        <v>8.5216144307976822E-6</v>
      </c>
      <c r="R74" s="62">
        <f t="shared" si="10"/>
        <v>6.0282644496182031E-4</v>
      </c>
    </row>
    <row r="75" spans="2:18">
      <c r="B75" s="86" t="s">
        <v>26</v>
      </c>
      <c r="C75" s="219">
        <f>'version consolidée UE'!C35</f>
        <v>61817.04</v>
      </c>
      <c r="D75" s="219">
        <f>'version consolidée UE'!$AN35*E75</f>
        <v>0</v>
      </c>
      <c r="E75" s="22">
        <f t="shared" si="2"/>
        <v>0.36785042778197535</v>
      </c>
      <c r="F75" s="219">
        <f>'version consolidée UE'!J35</f>
        <v>0</v>
      </c>
      <c r="G75" s="219">
        <f>'version consolidée UE'!$AN35*H75</f>
        <v>0</v>
      </c>
      <c r="H75" s="22">
        <f t="shared" si="3"/>
        <v>0</v>
      </c>
      <c r="I75" s="219">
        <f>'version consolidée UE'!Q35+'version consolidée UE'!AK35+'version consolidée UE'!AM35</f>
        <v>106232.34999999998</v>
      </c>
      <c r="J75" s="219">
        <f>'version consolidée UE'!$AN35*K75</f>
        <v>0</v>
      </c>
      <c r="K75" s="22">
        <f t="shared" si="4"/>
        <v>0.63214957221802459</v>
      </c>
      <c r="L75" s="219">
        <f t="shared" si="5"/>
        <v>168049.38999999998</v>
      </c>
      <c r="M75" s="219">
        <f t="shared" si="7"/>
        <v>0</v>
      </c>
      <c r="N75" s="22">
        <f t="shared" si="6"/>
        <v>1</v>
      </c>
      <c r="O75" s="164"/>
      <c r="P75" s="62">
        <f t="shared" si="8"/>
        <v>4.9294868755536301E-4</v>
      </c>
      <c r="Q75" s="62">
        <f t="shared" si="9"/>
        <v>0</v>
      </c>
      <c r="R75" s="62">
        <f t="shared" si="10"/>
        <v>1.0285904301798054E-3</v>
      </c>
    </row>
    <row r="76" spans="2:18">
      <c r="B76" s="86" t="s">
        <v>27</v>
      </c>
      <c r="C76" s="219">
        <f>'version consolidée UE'!C36</f>
        <v>38138.460000000006</v>
      </c>
      <c r="D76" s="219">
        <f>'version consolidée UE'!$AN36*E76</f>
        <v>0</v>
      </c>
      <c r="E76" s="22">
        <f t="shared" si="2"/>
        <v>0.97728627341648366</v>
      </c>
      <c r="F76" s="219">
        <f>'version consolidée UE'!J36</f>
        <v>0</v>
      </c>
      <c r="G76" s="219">
        <f>'version consolidée UE'!$AN36*H76</f>
        <v>0</v>
      </c>
      <c r="H76" s="22">
        <f t="shared" si="3"/>
        <v>0</v>
      </c>
      <c r="I76" s="219">
        <f>'version consolidée UE'!Q36+'version consolidée UE'!AK36+'version consolidée UE'!AM36</f>
        <v>886.4</v>
      </c>
      <c r="J76" s="219">
        <f>'version consolidée UE'!$AN36*K76</f>
        <v>0</v>
      </c>
      <c r="K76" s="22">
        <f t="shared" si="4"/>
        <v>2.2713726583516246E-2</v>
      </c>
      <c r="L76" s="219">
        <f t="shared" si="5"/>
        <v>39024.860000000008</v>
      </c>
      <c r="M76" s="219">
        <f t="shared" si="7"/>
        <v>0</v>
      </c>
      <c r="N76" s="22">
        <f t="shared" si="6"/>
        <v>0.99999999999999989</v>
      </c>
      <c r="O76" s="164"/>
      <c r="P76" s="62">
        <f t="shared" si="8"/>
        <v>3.04128178935496E-4</v>
      </c>
      <c r="Q76" s="62">
        <f t="shared" si="9"/>
        <v>0</v>
      </c>
      <c r="R76" s="62">
        <f t="shared" si="10"/>
        <v>8.5825321317977036E-6</v>
      </c>
    </row>
    <row r="77" spans="2:18">
      <c r="B77" s="86" t="s">
        <v>28</v>
      </c>
      <c r="C77" s="219">
        <f>'version consolidée UE'!C37</f>
        <v>14251464.689999999</v>
      </c>
      <c r="D77" s="219">
        <f>'version consolidée UE'!$AN37*E77</f>
        <v>0</v>
      </c>
      <c r="E77" s="22">
        <f t="shared" si="2"/>
        <v>0.45321036114406849</v>
      </c>
      <c r="F77" s="219">
        <f>'version consolidée UE'!J37</f>
        <v>11467353.119999999</v>
      </c>
      <c r="G77" s="219">
        <f>'version consolidée UE'!$AN37*H77</f>
        <v>0</v>
      </c>
      <c r="H77" s="22">
        <f t="shared" si="3"/>
        <v>0.3646729204282062</v>
      </c>
      <c r="I77" s="219">
        <f>'version consolidée UE'!Q37+'version consolidée UE'!AK37+'version consolidée UE'!AM37</f>
        <v>5726766.6510968227</v>
      </c>
      <c r="J77" s="219">
        <f>'version consolidée UE'!$AN37*K77</f>
        <v>0</v>
      </c>
      <c r="K77" s="22">
        <f t="shared" si="4"/>
        <v>0.18211671842772525</v>
      </c>
      <c r="L77" s="219">
        <f t="shared" si="5"/>
        <v>31445584.461096823</v>
      </c>
      <c r="M77" s="219">
        <f t="shared" si="7"/>
        <v>0</v>
      </c>
      <c r="N77" s="22">
        <f t="shared" si="6"/>
        <v>1</v>
      </c>
      <c r="O77" s="164"/>
      <c r="P77" s="62">
        <f>(C77+D77)/($C$78+$D$78)</f>
        <v>0.1136457005168332</v>
      </c>
      <c r="Q77" s="62">
        <f t="shared" si="9"/>
        <v>7.9195696469308796E-2</v>
      </c>
      <c r="R77" s="62">
        <f t="shared" si="10"/>
        <v>5.5449186365462554E-2</v>
      </c>
    </row>
    <row r="78" spans="2:18">
      <c r="B78" s="10" t="s">
        <v>47</v>
      </c>
      <c r="C78" s="220">
        <f>SUM(C47:C77)</f>
        <v>123168067.41999999</v>
      </c>
      <c r="D78" s="220">
        <f>SUM(D47:D77)</f>
        <v>2234518.2052175137</v>
      </c>
      <c r="E78" s="22">
        <f t="shared" si="2"/>
        <v>0.33896523004810997</v>
      </c>
      <c r="F78" s="220">
        <f>SUM(F47:F77)</f>
        <v>139635900.64999998</v>
      </c>
      <c r="G78" s="220">
        <f>SUM(G47:G77)</f>
        <v>5161779.4164164253</v>
      </c>
      <c r="H78" s="22">
        <f t="shared" si="3"/>
        <v>0.38428560403892936</v>
      </c>
      <c r="I78" s="220">
        <f>SUM(I47:I77)</f>
        <v>100560933.40534747</v>
      </c>
      <c r="J78" s="220">
        <f>SUM(J47:J77)</f>
        <v>2718610.0193660576</v>
      </c>
      <c r="K78" s="22">
        <f t="shared" si="4"/>
        <v>0.27674916591296039</v>
      </c>
      <c r="L78" s="220">
        <f>SUM(L47:L77)</f>
        <v>363364901.47534752</v>
      </c>
      <c r="M78" s="220">
        <f>SUM(M47:M77)</f>
        <v>10114907.640999997</v>
      </c>
      <c r="N78" s="22">
        <f t="shared" si="6"/>
        <v>0.99999999999999978</v>
      </c>
      <c r="O78"/>
      <c r="P78" s="6">
        <f>SUM(P47:P77)</f>
        <v>1</v>
      </c>
      <c r="Q78" s="6">
        <f t="shared" ref="Q78:R78" si="11">SUM(Q47:Q77)</f>
        <v>1.0000000000000004</v>
      </c>
      <c r="R78" s="6">
        <f t="shared" si="11"/>
        <v>0.99999999999999989</v>
      </c>
    </row>
    <row r="79" spans="2:18">
      <c r="B79" s="40" t="s">
        <v>367</v>
      </c>
      <c r="G79" s="26"/>
      <c r="I79" s="64"/>
    </row>
    <row r="80" spans="2:18">
      <c r="L80" s="255"/>
      <c r="M80" s="256"/>
    </row>
    <row r="81" spans="3:9">
      <c r="C81" s="165"/>
      <c r="F81" s="165"/>
      <c r="I81" s="165"/>
    </row>
    <row r="82" spans="3:9">
      <c r="C82" s="165"/>
      <c r="F82" s="165"/>
      <c r="I82" s="165"/>
    </row>
    <row r="83" spans="3:9">
      <c r="C83" s="165"/>
    </row>
  </sheetData>
  <mergeCells count="5">
    <mergeCell ref="C45:E45"/>
    <mergeCell ref="F45:H45"/>
    <mergeCell ref="I45:K45"/>
    <mergeCell ref="L45:N45"/>
    <mergeCell ref="C3:D3"/>
  </mergeCells>
  <conditionalFormatting sqref="H48 K48 E48">
    <cfRule type="colorScale" priority="11">
      <colorScale>
        <cfvo type="min" val="0"/>
        <cfvo type="percentile" val="50"/>
        <cfvo type="max" val="0"/>
        <color rgb="FFF8696B"/>
        <color rgb="FFFFEB84"/>
        <color rgb="FF63BE7B"/>
      </colorScale>
    </cfRule>
  </conditionalFormatting>
  <conditionalFormatting sqref="K49:K53 H49:H53 E49:E53">
    <cfRule type="colorScale" priority="10">
      <colorScale>
        <cfvo type="min" val="0"/>
        <cfvo type="percentile" val="50"/>
        <cfvo type="max" val="0"/>
        <color rgb="FFF8696B"/>
        <color rgb="FFFFEB84"/>
        <color rgb="FF63BE7B"/>
      </colorScale>
    </cfRule>
  </conditionalFormatting>
  <conditionalFormatting sqref="K54:K66 E54:E66 H54:H66">
    <cfRule type="colorScale" priority="9">
      <colorScale>
        <cfvo type="min" val="0"/>
        <cfvo type="percentile" val="50"/>
        <cfvo type="max" val="0"/>
        <color rgb="FFF8696B"/>
        <color rgb="FFFFEB84"/>
        <color rgb="FF63BE7B"/>
      </colorScale>
    </cfRule>
  </conditionalFormatting>
  <conditionalFormatting sqref="K67:K72 E67:E72 H67:H72">
    <cfRule type="colorScale" priority="8">
      <colorScale>
        <cfvo type="min" val="0"/>
        <cfvo type="percentile" val="50"/>
        <cfvo type="max" val="0"/>
        <color rgb="FFF8696B"/>
        <color rgb="FFFFEB84"/>
        <color rgb="FF63BE7B"/>
      </colorScale>
    </cfRule>
  </conditionalFormatting>
  <conditionalFormatting sqref="P47:P77">
    <cfRule type="top10" dxfId="8" priority="45" rank="3"/>
  </conditionalFormatting>
  <conditionalFormatting sqref="Q47:Q77">
    <cfRule type="top10" dxfId="7" priority="46" rank="3"/>
  </conditionalFormatting>
  <conditionalFormatting sqref="R47:R77">
    <cfRule type="top10" dxfId="6" priority="47" rank="3"/>
  </conditionalFormatting>
  <conditionalFormatting sqref="K47:K78 H47:H78 E47:E78">
    <cfRule type="colorScale" priority="48">
      <colorScale>
        <cfvo type="min" val="0"/>
        <cfvo type="percentile" val="50"/>
        <cfvo type="max" val="0"/>
        <color rgb="FFF8696B"/>
        <color rgb="FFFFEB84"/>
        <color rgb="FF63BE7B"/>
      </colorScale>
    </cfRule>
    <cfRule type="colorScale" priority="49">
      <colorScale>
        <cfvo type="min" val="0"/>
        <cfvo type="percentile" val="50"/>
        <cfvo type="max" val="0"/>
        <color rgb="FF92D050"/>
        <color rgb="FFFFEB84"/>
        <color theme="9"/>
      </colorScale>
    </cfRule>
  </conditionalFormatting>
  <conditionalFormatting sqref="K47:K78">
    <cfRule type="colorScale" priority="60">
      <colorScale>
        <cfvo type="min" val="0"/>
        <cfvo type="percentile" val="50"/>
        <cfvo type="max" val="0"/>
        <color rgb="FF92D050"/>
        <color rgb="FFFFEB84"/>
        <color theme="9"/>
      </colorScale>
    </cfRule>
  </conditionalFormatting>
  <conditionalFormatting sqref="H47:H78">
    <cfRule type="colorScale" priority="62">
      <colorScale>
        <cfvo type="min" val="0"/>
        <cfvo type="percentile" val="50"/>
        <cfvo type="max" val="0"/>
        <color rgb="FF92D050"/>
        <color rgb="FFFFEB84"/>
        <color theme="9"/>
      </colorScale>
    </cfRule>
  </conditionalFormatting>
  <conditionalFormatting sqref="E47:E78">
    <cfRule type="colorScale" priority="64">
      <colorScale>
        <cfvo type="min" val="0"/>
        <cfvo type="percentile" val="50"/>
        <cfvo type="max" val="0"/>
        <color rgb="FF92D050"/>
        <color rgb="FFFFEB84"/>
        <color theme="9"/>
      </colorScale>
    </cfRule>
  </conditionalFormatting>
  <conditionalFormatting sqref="K73:K78 E73:E78 H73:H78">
    <cfRule type="colorScale" priority="66">
      <colorScale>
        <cfvo type="min" val="0"/>
        <cfvo type="percentile" val="50"/>
        <cfvo type="max" val="0"/>
        <color rgb="FFF8696B"/>
        <color rgb="FFFFEB84"/>
        <color rgb="FF63BE7B"/>
      </colorScale>
    </cfRule>
  </conditionalFormatting>
  <hyperlinks>
    <hyperlink ref="A1" location="ACCUEIL!A1" display="ACCUEIL"/>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sheetPr>
    <tabColor theme="9" tint="-0.249977111117893"/>
  </sheetPr>
  <dimension ref="A1:X86"/>
  <sheetViews>
    <sheetView zoomScale="80" zoomScaleNormal="80" workbookViewId="0"/>
  </sheetViews>
  <sheetFormatPr baseColWidth="10" defaultRowHeight="15"/>
  <cols>
    <col min="1" max="1" width="11.42578125" style="25"/>
    <col min="2" max="2" width="25.5703125" style="25" bestFit="1" customWidth="1"/>
    <col min="3" max="3" width="15.140625" style="25" bestFit="1" customWidth="1"/>
    <col min="4" max="5" width="11.42578125" style="25"/>
    <col min="6" max="7" width="13.5703125" style="25" bestFit="1" customWidth="1"/>
    <col min="8" max="10" width="11.42578125" style="25"/>
    <col min="11" max="11" width="13.5703125" style="25" bestFit="1" customWidth="1"/>
    <col min="12" max="12" width="13.140625" style="25" bestFit="1" customWidth="1"/>
    <col min="13" max="16" width="13.140625" style="25" customWidth="1"/>
    <col min="17" max="17" width="11.42578125" style="25"/>
    <col min="18" max="18" width="12" style="25" customWidth="1"/>
    <col min="19" max="19" width="13.5703125" style="25" bestFit="1" customWidth="1"/>
    <col min="20" max="20" width="13.140625" style="25" bestFit="1" customWidth="1"/>
    <col min="21" max="21" width="13.140625" style="25" customWidth="1"/>
    <col min="22" max="22" width="13.140625" style="25" bestFit="1" customWidth="1"/>
    <col min="23" max="23" width="12" style="25" bestFit="1" customWidth="1"/>
    <col min="24" max="16384" width="11.42578125" style="25"/>
  </cols>
  <sheetData>
    <row r="1" spans="1:24" ht="15.75" thickBot="1">
      <c r="A1" s="28" t="s">
        <v>206</v>
      </c>
    </row>
    <row r="2" spans="1:24">
      <c r="G2" s="27"/>
    </row>
    <row r="3" spans="1:24">
      <c r="B3" s="29" t="s">
        <v>363</v>
      </c>
    </row>
    <row r="5" spans="1:24">
      <c r="B5" s="30"/>
      <c r="C5" s="30"/>
      <c r="D5" s="388" t="s">
        <v>158</v>
      </c>
      <c r="E5" s="388"/>
      <c r="F5" s="388"/>
      <c r="G5" s="388"/>
      <c r="H5" s="388"/>
      <c r="I5" s="388"/>
      <c r="J5" s="388" t="s">
        <v>29</v>
      </c>
      <c r="K5" s="388"/>
      <c r="L5" s="388"/>
      <c r="M5" s="412" t="s">
        <v>342</v>
      </c>
      <c r="N5" s="413"/>
      <c r="O5" s="414"/>
      <c r="P5" s="418" t="s">
        <v>343</v>
      </c>
      <c r="Q5" s="412" t="s">
        <v>47</v>
      </c>
      <c r="R5" s="413"/>
      <c r="S5" s="413"/>
      <c r="T5" s="413"/>
      <c r="U5" s="413"/>
      <c r="V5" s="414"/>
    </row>
    <row r="6" spans="1:24">
      <c r="B6" s="389" t="s">
        <v>175</v>
      </c>
      <c r="C6" s="391" t="s">
        <v>176</v>
      </c>
      <c r="D6" s="393" t="s">
        <v>159</v>
      </c>
      <c r="E6" s="394"/>
      <c r="F6" s="393" t="s">
        <v>160</v>
      </c>
      <c r="G6" s="394"/>
      <c r="H6" s="394"/>
      <c r="I6" s="395"/>
      <c r="J6" s="396" t="s">
        <v>159</v>
      </c>
      <c r="K6" s="397" t="s">
        <v>2</v>
      </c>
      <c r="L6" s="396" t="s">
        <v>177</v>
      </c>
      <c r="M6" s="396" t="s">
        <v>159</v>
      </c>
      <c r="N6" s="397" t="s">
        <v>2</v>
      </c>
      <c r="O6" s="396" t="s">
        <v>177</v>
      </c>
      <c r="P6" s="419"/>
      <c r="Q6" s="396" t="s">
        <v>159</v>
      </c>
      <c r="R6" s="397" t="s">
        <v>184</v>
      </c>
      <c r="S6" s="397" t="s">
        <v>344</v>
      </c>
      <c r="T6" s="397" t="s">
        <v>185</v>
      </c>
      <c r="U6" s="397" t="s">
        <v>345</v>
      </c>
      <c r="V6" s="396" t="s">
        <v>177</v>
      </c>
    </row>
    <row r="7" spans="1:24" ht="38.25" customHeight="1">
      <c r="B7" s="390"/>
      <c r="C7" s="392"/>
      <c r="D7" s="31" t="s">
        <v>178</v>
      </c>
      <c r="E7" s="31" t="s">
        <v>179</v>
      </c>
      <c r="F7" s="31" t="s">
        <v>2</v>
      </c>
      <c r="G7" s="31" t="s">
        <v>2</v>
      </c>
      <c r="H7" s="31" t="s">
        <v>179</v>
      </c>
      <c r="I7" s="31" t="s">
        <v>177</v>
      </c>
      <c r="J7" s="396"/>
      <c r="K7" s="398"/>
      <c r="L7" s="396"/>
      <c r="M7" s="396"/>
      <c r="N7" s="398"/>
      <c r="O7" s="396"/>
      <c r="P7" s="420"/>
      <c r="Q7" s="396"/>
      <c r="R7" s="398"/>
      <c r="S7" s="398"/>
      <c r="T7" s="398"/>
      <c r="U7" s="398"/>
      <c r="V7" s="396"/>
    </row>
    <row r="8" spans="1:24">
      <c r="B8" s="399" t="s">
        <v>180</v>
      </c>
      <c r="C8" s="32" t="s">
        <v>43</v>
      </c>
      <c r="D8" s="400">
        <f>'version consolidée UE'!B38</f>
        <v>323123</v>
      </c>
      <c r="E8" s="402">
        <f>D8/D23</f>
        <v>0.70558884414824385</v>
      </c>
      <c r="F8" s="55">
        <f>'version consolidée UE'!D38</f>
        <v>29239135.460000005</v>
      </c>
      <c r="G8" s="400">
        <f>SUM(F8:F12)</f>
        <v>123168067.42</v>
      </c>
      <c r="H8" s="402">
        <f>G8/$G$23</f>
        <v>0.34535498557545763</v>
      </c>
      <c r="I8" s="385">
        <f>G8/D8</f>
        <v>381.18013084800526</v>
      </c>
      <c r="J8" s="386" t="s">
        <v>181</v>
      </c>
      <c r="K8" s="386" t="s">
        <v>181</v>
      </c>
      <c r="L8" s="386" t="s">
        <v>181</v>
      </c>
      <c r="M8" s="181"/>
      <c r="N8" s="181"/>
      <c r="O8" s="181"/>
      <c r="P8" s="400">
        <f>'version consolidée UE'!$AN$38*T8</f>
        <v>3428601.9954469502</v>
      </c>
      <c r="Q8" s="400">
        <f>D8</f>
        <v>323123</v>
      </c>
      <c r="R8" s="402">
        <f>Q8/Q23</f>
        <v>0.70412201297880594</v>
      </c>
      <c r="S8" s="400">
        <f>G8</f>
        <v>123168067.42</v>
      </c>
      <c r="T8" s="402">
        <f>S8/$S$23</f>
        <v>0.33896523004811008</v>
      </c>
      <c r="U8" s="400">
        <f>S8+P8</f>
        <v>126596669.41544695</v>
      </c>
      <c r="V8" s="385">
        <f>S8/Q8</f>
        <v>381.18013084800526</v>
      </c>
      <c r="X8" s="47"/>
    </row>
    <row r="9" spans="1:24">
      <c r="B9" s="399"/>
      <c r="C9" s="32" t="s">
        <v>42</v>
      </c>
      <c r="D9" s="401"/>
      <c r="E9" s="403"/>
      <c r="F9" s="55">
        <f>'version consolidée UE'!E38</f>
        <v>3971471.8899999997</v>
      </c>
      <c r="G9" s="401"/>
      <c r="H9" s="403"/>
      <c r="I9" s="385"/>
      <c r="J9" s="387"/>
      <c r="K9" s="387"/>
      <c r="L9" s="387"/>
      <c r="M9" s="182"/>
      <c r="N9" s="182"/>
      <c r="O9" s="182"/>
      <c r="P9" s="401"/>
      <c r="Q9" s="401"/>
      <c r="R9" s="403"/>
      <c r="S9" s="401"/>
      <c r="T9" s="403"/>
      <c r="U9" s="401"/>
      <c r="V9" s="385"/>
      <c r="X9" s="47"/>
    </row>
    <row r="10" spans="1:24">
      <c r="B10" s="399"/>
      <c r="C10" s="32" t="s">
        <v>41</v>
      </c>
      <c r="D10" s="401"/>
      <c r="E10" s="403"/>
      <c r="F10" s="55">
        <f>'version consolidée UE'!F38</f>
        <v>7219948.5199999996</v>
      </c>
      <c r="G10" s="401"/>
      <c r="H10" s="403"/>
      <c r="I10" s="385"/>
      <c r="J10" s="387"/>
      <c r="K10" s="387"/>
      <c r="L10" s="387"/>
      <c r="M10" s="182"/>
      <c r="N10" s="182"/>
      <c r="O10" s="182"/>
      <c r="P10" s="401"/>
      <c r="Q10" s="401"/>
      <c r="R10" s="403"/>
      <c r="S10" s="401"/>
      <c r="T10" s="403"/>
      <c r="U10" s="401"/>
      <c r="V10" s="385"/>
      <c r="X10" s="47"/>
    </row>
    <row r="11" spans="1:24">
      <c r="B11" s="399"/>
      <c r="C11" s="32" t="s">
        <v>40</v>
      </c>
      <c r="D11" s="401"/>
      <c r="E11" s="403"/>
      <c r="F11" s="55">
        <f>'version consolidée UE'!G38</f>
        <v>56477077.420000002</v>
      </c>
      <c r="G11" s="401"/>
      <c r="H11" s="403"/>
      <c r="I11" s="385"/>
      <c r="J11" s="387"/>
      <c r="K11" s="387"/>
      <c r="L11" s="387"/>
      <c r="M11" s="182"/>
      <c r="N11" s="182"/>
      <c r="O11" s="182"/>
      <c r="P11" s="401"/>
      <c r="Q11" s="401"/>
      <c r="R11" s="403"/>
      <c r="S11" s="401"/>
      <c r="T11" s="403"/>
      <c r="U11" s="401"/>
      <c r="V11" s="385"/>
      <c r="X11" s="47"/>
    </row>
    <row r="12" spans="1:24">
      <c r="B12" s="399"/>
      <c r="C12" s="32" t="s">
        <v>39</v>
      </c>
      <c r="D12" s="401"/>
      <c r="E12" s="403"/>
      <c r="F12" s="55">
        <f>'version consolidée UE'!H38</f>
        <v>26260434.129999992</v>
      </c>
      <c r="G12" s="401"/>
      <c r="H12" s="403"/>
      <c r="I12" s="385"/>
      <c r="J12" s="387"/>
      <c r="K12" s="387"/>
      <c r="L12" s="387"/>
      <c r="M12" s="182"/>
      <c r="N12" s="182"/>
      <c r="O12" s="182"/>
      <c r="P12" s="401"/>
      <c r="Q12" s="407"/>
      <c r="R12" s="403"/>
      <c r="S12" s="401"/>
      <c r="T12" s="403"/>
      <c r="U12" s="401"/>
      <c r="V12" s="385"/>
      <c r="X12" s="47"/>
    </row>
    <row r="13" spans="1:24">
      <c r="B13" s="404" t="s">
        <v>151</v>
      </c>
      <c r="C13" s="38" t="s">
        <v>43</v>
      </c>
      <c r="D13" s="405">
        <f>'version consolidée UE'!I38</f>
        <v>75006</v>
      </c>
      <c r="E13" s="402">
        <f>D13/D23</f>
        <v>0.16378715487347908</v>
      </c>
      <c r="F13" s="56">
        <f>'version consolidée UE'!K38</f>
        <v>15351133.23</v>
      </c>
      <c r="G13" s="405">
        <f>SUM(F13:F17)</f>
        <v>139635900.65000001</v>
      </c>
      <c r="H13" s="402">
        <f>G13/$G$23</f>
        <v>0.39152968350436418</v>
      </c>
      <c r="I13" s="385">
        <f>G13/D13</f>
        <v>1861.6630756206171</v>
      </c>
      <c r="J13" s="408" t="s">
        <v>181</v>
      </c>
      <c r="K13" s="408" t="s">
        <v>181</v>
      </c>
      <c r="L13" s="408" t="s">
        <v>181</v>
      </c>
      <c r="M13" s="178"/>
      <c r="N13" s="178"/>
      <c r="O13" s="178"/>
      <c r="P13" s="400">
        <f>'version consolidée UE'!$AN$38*T13</f>
        <v>3887013.3926196676</v>
      </c>
      <c r="Q13" s="400">
        <f>D13</f>
        <v>75006</v>
      </c>
      <c r="R13" s="402">
        <f>Q13/Q23</f>
        <v>0.16344666181450507</v>
      </c>
      <c r="S13" s="405">
        <f>G13</f>
        <v>139635900.65000001</v>
      </c>
      <c r="T13" s="402">
        <f>S13/S23</f>
        <v>0.38428560403892953</v>
      </c>
      <c r="U13" s="400">
        <f t="shared" ref="U13" si="0">S13+P13</f>
        <v>143522914.04261968</v>
      </c>
      <c r="V13" s="385">
        <f>S13/Q13</f>
        <v>1861.6630756206171</v>
      </c>
      <c r="X13" s="47"/>
    </row>
    <row r="14" spans="1:24">
      <c r="B14" s="404"/>
      <c r="C14" s="38" t="s">
        <v>42</v>
      </c>
      <c r="D14" s="405"/>
      <c r="E14" s="403"/>
      <c r="F14" s="56">
        <f>'version consolidée UE'!L38</f>
        <v>62242.73</v>
      </c>
      <c r="G14" s="405"/>
      <c r="H14" s="403"/>
      <c r="I14" s="385"/>
      <c r="J14" s="409"/>
      <c r="K14" s="409"/>
      <c r="L14" s="409"/>
      <c r="M14" s="179"/>
      <c r="N14" s="179"/>
      <c r="O14" s="179"/>
      <c r="P14" s="401"/>
      <c r="Q14" s="401"/>
      <c r="R14" s="403"/>
      <c r="S14" s="405"/>
      <c r="T14" s="403"/>
      <c r="U14" s="401"/>
      <c r="V14" s="385"/>
      <c r="X14" s="47"/>
    </row>
    <row r="15" spans="1:24">
      <c r="B15" s="404"/>
      <c r="C15" s="38" t="s">
        <v>41</v>
      </c>
      <c r="D15" s="405"/>
      <c r="E15" s="403"/>
      <c r="F15" s="56">
        <f>'version consolidée UE'!M38</f>
        <v>3546252.09</v>
      </c>
      <c r="G15" s="405"/>
      <c r="H15" s="403"/>
      <c r="I15" s="385"/>
      <c r="J15" s="409"/>
      <c r="K15" s="409"/>
      <c r="L15" s="409"/>
      <c r="M15" s="179"/>
      <c r="N15" s="179"/>
      <c r="O15" s="179"/>
      <c r="P15" s="401"/>
      <c r="Q15" s="401"/>
      <c r="R15" s="403"/>
      <c r="S15" s="405"/>
      <c r="T15" s="403"/>
      <c r="U15" s="401"/>
      <c r="V15" s="385"/>
      <c r="X15" s="47"/>
    </row>
    <row r="16" spans="1:24">
      <c r="B16" s="404"/>
      <c r="C16" s="38" t="s">
        <v>40</v>
      </c>
      <c r="D16" s="405"/>
      <c r="E16" s="403"/>
      <c r="F16" s="56">
        <f>'version consolidée UE'!N38</f>
        <v>110593851.68000001</v>
      </c>
      <c r="G16" s="405"/>
      <c r="H16" s="403"/>
      <c r="I16" s="385"/>
      <c r="J16" s="409"/>
      <c r="K16" s="409"/>
      <c r="L16" s="409"/>
      <c r="M16" s="179"/>
      <c r="N16" s="179"/>
      <c r="O16" s="179"/>
      <c r="P16" s="401"/>
      <c r="Q16" s="401"/>
      <c r="R16" s="403"/>
      <c r="S16" s="405"/>
      <c r="T16" s="403"/>
      <c r="U16" s="401"/>
      <c r="V16" s="385"/>
      <c r="X16" s="47"/>
    </row>
    <row r="17" spans="2:24">
      <c r="B17" s="404"/>
      <c r="C17" s="38" t="s">
        <v>39</v>
      </c>
      <c r="D17" s="405"/>
      <c r="E17" s="406"/>
      <c r="F17" s="56">
        <f>'version consolidée UE'!O38</f>
        <v>10082420.919999998</v>
      </c>
      <c r="G17" s="405"/>
      <c r="H17" s="406"/>
      <c r="I17" s="385"/>
      <c r="J17" s="410"/>
      <c r="K17" s="410"/>
      <c r="L17" s="410"/>
      <c r="M17" s="180"/>
      <c r="N17" s="180"/>
      <c r="O17" s="180"/>
      <c r="P17" s="401"/>
      <c r="Q17" s="407"/>
      <c r="R17" s="406"/>
      <c r="S17" s="405"/>
      <c r="T17" s="406"/>
      <c r="U17" s="401"/>
      <c r="V17" s="385"/>
      <c r="X17" s="47"/>
    </row>
    <row r="18" spans="2:24">
      <c r="B18" s="399" t="s">
        <v>191</v>
      </c>
      <c r="C18" s="32" t="s">
        <v>43</v>
      </c>
      <c r="D18" s="405">
        <f>'version consolidée UE'!P38</f>
        <v>59819</v>
      </c>
      <c r="E18" s="402">
        <f>D18/D23</f>
        <v>0.13062400097827701</v>
      </c>
      <c r="F18" s="55">
        <f>'version consolidée UE'!R38</f>
        <v>27812074.450000003</v>
      </c>
      <c r="G18" s="405">
        <f>SUM(F18:F22)</f>
        <v>93837958.540000007</v>
      </c>
      <c r="H18" s="402">
        <f>G18/$G$23</f>
        <v>0.26311533092017803</v>
      </c>
      <c r="I18" s="385">
        <f>G18/D18</f>
        <v>1568.6982152827698</v>
      </c>
      <c r="J18" s="405">
        <f>'version consolidée UE'!AJ38</f>
        <v>472</v>
      </c>
      <c r="K18" s="405">
        <f>'version consolidée UE'!AK38</f>
        <v>6540051.2976542441</v>
      </c>
      <c r="L18" s="385">
        <f>IF(K18=0,"-",K18/J18)</f>
        <v>13856.040884860688</v>
      </c>
      <c r="M18" s="405">
        <f>'version consolidée UE'!AL38</f>
        <v>482</v>
      </c>
      <c r="N18" s="415">
        <f>'version consolidée UE'!AM38</f>
        <v>182923.56769322738</v>
      </c>
      <c r="O18" s="385">
        <f>N18/M18</f>
        <v>379.50947654196551</v>
      </c>
      <c r="P18" s="400">
        <f>'version consolidée UE'!$AN$38*T18</f>
        <v>2799292.2529333802</v>
      </c>
      <c r="Q18" s="405">
        <f>D18+J18+M18</f>
        <v>60773</v>
      </c>
      <c r="R18" s="402">
        <f>Q18/Q23</f>
        <v>0.13243132520668902</v>
      </c>
      <c r="S18" s="400">
        <f>G18+K18+N18</f>
        <v>100560933.40534748</v>
      </c>
      <c r="T18" s="402">
        <f>S18/S23</f>
        <v>0.2767491659129605</v>
      </c>
      <c r="U18" s="400">
        <f t="shared" ref="U18" si="1">S18+P18</f>
        <v>103360225.65828086</v>
      </c>
      <c r="V18" s="385">
        <f>S18/Q18</f>
        <v>1654.6975368230544</v>
      </c>
      <c r="X18" s="47"/>
    </row>
    <row r="19" spans="2:24">
      <c r="B19" s="399"/>
      <c r="C19" s="32" t="s">
        <v>42</v>
      </c>
      <c r="D19" s="405"/>
      <c r="E19" s="403"/>
      <c r="F19" s="55">
        <f>'version consolidée UE'!S38</f>
        <v>1933111.31</v>
      </c>
      <c r="G19" s="405"/>
      <c r="H19" s="403"/>
      <c r="I19" s="385"/>
      <c r="J19" s="405"/>
      <c r="K19" s="405"/>
      <c r="L19" s="385"/>
      <c r="M19" s="405"/>
      <c r="N19" s="416"/>
      <c r="O19" s="385"/>
      <c r="P19" s="401"/>
      <c r="Q19" s="405"/>
      <c r="R19" s="403"/>
      <c r="S19" s="401"/>
      <c r="T19" s="403"/>
      <c r="U19" s="401"/>
      <c r="V19" s="385"/>
      <c r="X19" s="47"/>
    </row>
    <row r="20" spans="2:24">
      <c r="B20" s="399"/>
      <c r="C20" s="32" t="s">
        <v>41</v>
      </c>
      <c r="D20" s="405"/>
      <c r="E20" s="403"/>
      <c r="F20" s="55">
        <f>'version consolidée UE'!T38</f>
        <v>10550211.130000001</v>
      </c>
      <c r="G20" s="405"/>
      <c r="H20" s="403"/>
      <c r="I20" s="385"/>
      <c r="J20" s="405"/>
      <c r="K20" s="405"/>
      <c r="L20" s="385"/>
      <c r="M20" s="405"/>
      <c r="N20" s="416"/>
      <c r="O20" s="385"/>
      <c r="P20" s="401"/>
      <c r="Q20" s="405"/>
      <c r="R20" s="403"/>
      <c r="S20" s="401"/>
      <c r="T20" s="403"/>
      <c r="U20" s="401"/>
      <c r="V20" s="385"/>
      <c r="X20" s="47"/>
    </row>
    <row r="21" spans="2:24">
      <c r="B21" s="399"/>
      <c r="C21" s="32" t="s">
        <v>40</v>
      </c>
      <c r="D21" s="405"/>
      <c r="E21" s="403"/>
      <c r="F21" s="55">
        <f>'version consolidée UE'!U38</f>
        <v>25547889.869999997</v>
      </c>
      <c r="G21" s="405"/>
      <c r="H21" s="403"/>
      <c r="I21" s="385"/>
      <c r="J21" s="405"/>
      <c r="K21" s="405"/>
      <c r="L21" s="385"/>
      <c r="M21" s="405"/>
      <c r="N21" s="416"/>
      <c r="O21" s="385"/>
      <c r="P21" s="401"/>
      <c r="Q21" s="405"/>
      <c r="R21" s="403"/>
      <c r="S21" s="401"/>
      <c r="T21" s="403"/>
      <c r="U21" s="401"/>
      <c r="V21" s="385"/>
      <c r="X21" s="47"/>
    </row>
    <row r="22" spans="2:24">
      <c r="B22" s="399"/>
      <c r="C22" s="32" t="s">
        <v>39</v>
      </c>
      <c r="D22" s="405"/>
      <c r="E22" s="403"/>
      <c r="F22" s="55">
        <f>'version consolidée UE'!V38</f>
        <v>27994671.780000009</v>
      </c>
      <c r="G22" s="405"/>
      <c r="H22" s="403"/>
      <c r="I22" s="385"/>
      <c r="J22" s="405"/>
      <c r="K22" s="405"/>
      <c r="L22" s="385"/>
      <c r="M22" s="405"/>
      <c r="N22" s="417"/>
      <c r="O22" s="385"/>
      <c r="P22" s="401"/>
      <c r="Q22" s="405"/>
      <c r="R22" s="403"/>
      <c r="S22" s="407"/>
      <c r="T22" s="403"/>
      <c r="U22" s="401"/>
      <c r="V22" s="385"/>
      <c r="X22" s="47"/>
    </row>
    <row r="23" spans="2:24">
      <c r="B23" s="404" t="s">
        <v>182</v>
      </c>
      <c r="C23" s="38" t="s">
        <v>43</v>
      </c>
      <c r="D23" s="405">
        <f>SUM(D8:D22)</f>
        <v>457948</v>
      </c>
      <c r="E23" s="411">
        <f>SUM(E8:E22)</f>
        <v>0.99999999999999989</v>
      </c>
      <c r="F23" s="56">
        <f>F8+F13+F18</f>
        <v>72402343.140000015</v>
      </c>
      <c r="G23" s="405">
        <f>SUM(F23:F27)</f>
        <v>356641926.61000007</v>
      </c>
      <c r="H23" s="411">
        <f>SUM(H8:H22)</f>
        <v>0.99999999999999989</v>
      </c>
      <c r="I23" s="385">
        <f>G23/D23</f>
        <v>778.78258363394991</v>
      </c>
      <c r="J23" s="405">
        <f>SUM(J8:J22)</f>
        <v>472</v>
      </c>
      <c r="K23" s="405">
        <f>SUM(K8:K22)</f>
        <v>6540051.2976542441</v>
      </c>
      <c r="L23" s="385">
        <f>IF(J23=0,"-",K23/J23)</f>
        <v>13856.040884860688</v>
      </c>
      <c r="M23" s="405">
        <f>SUM(M8:M22)</f>
        <v>482</v>
      </c>
      <c r="N23" s="405">
        <f>SUM(N8:N22)</f>
        <v>182923.56769322738</v>
      </c>
      <c r="O23" s="385">
        <f>N23/M23</f>
        <v>379.50947654196551</v>
      </c>
      <c r="P23" s="405">
        <f t="shared" ref="P23:U23" si="2">SUM(P8:P22)</f>
        <v>10114907.640999999</v>
      </c>
      <c r="Q23" s="405">
        <f t="shared" si="2"/>
        <v>458902</v>
      </c>
      <c r="R23" s="411">
        <f t="shared" si="2"/>
        <v>1</v>
      </c>
      <c r="S23" s="405">
        <f>SUM(S8:S22)</f>
        <v>363364901.47534746</v>
      </c>
      <c r="T23" s="411">
        <f t="shared" si="2"/>
        <v>1</v>
      </c>
      <c r="U23" s="400">
        <f t="shared" si="2"/>
        <v>373479809.11634749</v>
      </c>
      <c r="V23" s="385">
        <f>S23/Q23</f>
        <v>791.81372379145762</v>
      </c>
      <c r="X23" s="47"/>
    </row>
    <row r="24" spans="2:24">
      <c r="B24" s="404"/>
      <c r="C24" s="38" t="s">
        <v>42</v>
      </c>
      <c r="D24" s="405"/>
      <c r="E24" s="411"/>
      <c r="F24" s="56">
        <f>F9+F14+F19</f>
        <v>5966825.9299999997</v>
      </c>
      <c r="G24" s="405"/>
      <c r="H24" s="411"/>
      <c r="I24" s="385"/>
      <c r="J24" s="405"/>
      <c r="K24" s="405"/>
      <c r="L24" s="385"/>
      <c r="M24" s="405"/>
      <c r="N24" s="405"/>
      <c r="O24" s="385"/>
      <c r="P24" s="405"/>
      <c r="Q24" s="405"/>
      <c r="R24" s="411"/>
      <c r="S24" s="405"/>
      <c r="T24" s="411"/>
      <c r="U24" s="401"/>
      <c r="V24" s="385"/>
    </row>
    <row r="25" spans="2:24">
      <c r="B25" s="404"/>
      <c r="C25" s="38" t="s">
        <v>41</v>
      </c>
      <c r="D25" s="405"/>
      <c r="E25" s="411"/>
      <c r="F25" s="56">
        <f>F10+F15+F20</f>
        <v>21316411.740000002</v>
      </c>
      <c r="G25" s="405"/>
      <c r="H25" s="411"/>
      <c r="I25" s="385"/>
      <c r="J25" s="405"/>
      <c r="K25" s="405"/>
      <c r="L25" s="385"/>
      <c r="M25" s="405"/>
      <c r="N25" s="405"/>
      <c r="O25" s="385"/>
      <c r="P25" s="405"/>
      <c r="Q25" s="405"/>
      <c r="R25" s="411"/>
      <c r="S25" s="405"/>
      <c r="T25" s="411"/>
      <c r="U25" s="401"/>
      <c r="V25" s="385"/>
    </row>
    <row r="26" spans="2:24">
      <c r="B26" s="404"/>
      <c r="C26" s="38" t="s">
        <v>40</v>
      </c>
      <c r="D26" s="405"/>
      <c r="E26" s="411"/>
      <c r="F26" s="56">
        <f>F11+F16+F21</f>
        <v>192618818.97000003</v>
      </c>
      <c r="G26" s="405"/>
      <c r="H26" s="411"/>
      <c r="I26" s="385"/>
      <c r="J26" s="405"/>
      <c r="K26" s="405"/>
      <c r="L26" s="385"/>
      <c r="M26" s="405"/>
      <c r="N26" s="405"/>
      <c r="O26" s="385"/>
      <c r="P26" s="405"/>
      <c r="Q26" s="405"/>
      <c r="R26" s="411"/>
      <c r="S26" s="405"/>
      <c r="T26" s="411"/>
      <c r="U26" s="401"/>
      <c r="V26" s="385"/>
      <c r="W26" s="27"/>
    </row>
    <row r="27" spans="2:24">
      <c r="B27" s="404"/>
      <c r="C27" s="38" t="s">
        <v>39</v>
      </c>
      <c r="D27" s="405"/>
      <c r="E27" s="411"/>
      <c r="F27" s="56">
        <f>F12+F17+F22</f>
        <v>64337526.829999998</v>
      </c>
      <c r="G27" s="405"/>
      <c r="H27" s="411"/>
      <c r="I27" s="385"/>
      <c r="J27" s="405"/>
      <c r="K27" s="405"/>
      <c r="L27" s="385"/>
      <c r="M27" s="405"/>
      <c r="N27" s="405"/>
      <c r="O27" s="385"/>
      <c r="P27" s="405"/>
      <c r="Q27" s="405"/>
      <c r="R27" s="411"/>
      <c r="S27" s="405"/>
      <c r="T27" s="411"/>
      <c r="U27" s="407"/>
      <c r="V27" s="385"/>
    </row>
    <row r="28" spans="2:24">
      <c r="B28" s="40" t="s">
        <v>367</v>
      </c>
      <c r="C28" s="40"/>
      <c r="D28" s="40"/>
      <c r="E28" s="40"/>
      <c r="F28" s="40"/>
      <c r="G28" s="40"/>
      <c r="H28" s="167"/>
      <c r="I28" s="168"/>
      <c r="J28" s="166"/>
      <c r="K28" s="166"/>
      <c r="L28" s="168"/>
      <c r="M28" s="168"/>
      <c r="N28" s="168"/>
      <c r="O28" s="168"/>
      <c r="P28" s="168"/>
      <c r="Q28" s="166"/>
      <c r="R28" s="167"/>
      <c r="S28" s="166"/>
      <c r="T28" s="167"/>
      <c r="U28" s="167"/>
      <c r="V28" s="168"/>
    </row>
    <row r="29" spans="2:24">
      <c r="B29" s="40" t="s">
        <v>284</v>
      </c>
      <c r="G29" s="94"/>
      <c r="S29" s="27"/>
    </row>
    <row r="30" spans="2:24">
      <c r="B30" s="40"/>
      <c r="S30" s="27"/>
    </row>
    <row r="31" spans="2:24">
      <c r="B31" s="46" t="s">
        <v>277</v>
      </c>
      <c r="C31" s="30"/>
      <c r="D31" s="30"/>
      <c r="E31" s="30"/>
      <c r="F31" s="30"/>
      <c r="G31" s="30"/>
      <c r="H31" s="30"/>
      <c r="I31" s="30"/>
      <c r="J31" s="30"/>
      <c r="K31" s="30"/>
      <c r="S31" s="95"/>
    </row>
    <row r="32" spans="2:24">
      <c r="B32" s="30"/>
      <c r="C32" s="30"/>
      <c r="D32" s="30"/>
      <c r="E32" s="30"/>
      <c r="F32" s="30"/>
      <c r="G32" s="30"/>
      <c r="H32" s="30"/>
      <c r="I32" s="30"/>
      <c r="J32" s="30"/>
      <c r="K32" s="30"/>
    </row>
    <row r="33" spans="2:19">
      <c r="B33" s="30"/>
      <c r="C33" s="30"/>
      <c r="D33" s="30"/>
      <c r="E33" s="30"/>
      <c r="F33" s="30"/>
      <c r="G33" s="58"/>
      <c r="H33" s="58"/>
      <c r="I33" s="30"/>
      <c r="J33" s="30"/>
      <c r="K33" s="273"/>
    </row>
    <row r="34" spans="2:19">
      <c r="B34" s="30" t="str">
        <f>"Dépenses : "&amp;TEXT(ROUND(S23/1000000,2),"# ###,##")&amp;" millions d'€"</f>
        <v>Dépenses : 363,36 millions d'€</v>
      </c>
      <c r="C34" s="30"/>
      <c r="D34" s="30"/>
      <c r="E34" s="30"/>
      <c r="F34" s="30"/>
      <c r="G34" s="30"/>
      <c r="H34" s="30"/>
      <c r="I34" s="30"/>
      <c r="J34" s="30"/>
      <c r="K34" s="30"/>
      <c r="S34" s="27"/>
    </row>
    <row r="35" spans="2:19">
      <c r="B35" s="30" t="str">
        <f>"Bénéficiaires = "&amp;TEXT(Q23,"000 000")</f>
        <v>Bénéficiaires = 458 902</v>
      </c>
      <c r="C35" s="30"/>
      <c r="D35" s="30"/>
      <c r="E35" s="30"/>
      <c r="F35" s="30"/>
      <c r="G35" s="30"/>
      <c r="H35" s="30"/>
      <c r="I35" s="30"/>
      <c r="J35" s="30"/>
      <c r="K35" s="30"/>
    </row>
    <row r="36" spans="2:19">
      <c r="B36" s="30"/>
      <c r="C36" s="30"/>
      <c r="D36" s="30"/>
      <c r="E36" s="30"/>
      <c r="F36" s="30"/>
      <c r="G36" s="30"/>
      <c r="H36" s="30"/>
      <c r="I36" s="30"/>
      <c r="J36" s="30"/>
      <c r="K36" s="30"/>
    </row>
    <row r="37" spans="2:19">
      <c r="B37" s="30"/>
      <c r="C37" s="30"/>
      <c r="D37" s="30"/>
      <c r="E37" s="30"/>
      <c r="F37" s="30"/>
      <c r="G37" s="30"/>
      <c r="H37" s="30"/>
      <c r="I37" s="30"/>
      <c r="J37" s="30"/>
      <c r="K37" s="30"/>
    </row>
    <row r="38" spans="2:19">
      <c r="B38" s="30"/>
      <c r="C38" s="30"/>
      <c r="D38" s="30"/>
      <c r="E38" s="30"/>
      <c r="F38" s="30"/>
      <c r="G38" s="30"/>
      <c r="H38" s="30"/>
      <c r="I38" s="59"/>
      <c r="J38" s="30"/>
      <c r="K38" s="30"/>
    </row>
    <row r="39" spans="2:19">
      <c r="B39" s="30"/>
      <c r="C39" s="30"/>
      <c r="D39" s="30"/>
      <c r="E39" s="30"/>
      <c r="F39" s="30"/>
      <c r="G39" s="30"/>
      <c r="H39" s="30"/>
      <c r="I39" s="30"/>
      <c r="J39" s="30"/>
      <c r="K39" s="30"/>
    </row>
    <row r="40" spans="2:19">
      <c r="B40" s="30"/>
      <c r="C40" s="30"/>
      <c r="D40" s="30"/>
      <c r="E40" s="30"/>
      <c r="F40" s="30"/>
      <c r="G40" s="30"/>
      <c r="H40" s="30"/>
      <c r="I40" s="30"/>
      <c r="J40" s="30"/>
      <c r="K40" s="30"/>
    </row>
    <row r="41" spans="2:19">
      <c r="B41" s="30"/>
      <c r="C41" s="30"/>
      <c r="D41" s="30"/>
      <c r="E41" s="30"/>
      <c r="F41" s="30"/>
      <c r="G41" s="30"/>
      <c r="H41" s="30"/>
      <c r="I41" s="30"/>
      <c r="J41" s="30"/>
      <c r="K41" s="30"/>
    </row>
    <row r="42" spans="2:19">
      <c r="B42" s="30"/>
      <c r="C42" s="30"/>
      <c r="D42" s="30"/>
      <c r="E42" s="30"/>
      <c r="F42" s="30"/>
      <c r="G42" s="30"/>
      <c r="H42" s="30"/>
      <c r="I42" s="30"/>
      <c r="J42" s="30"/>
      <c r="K42" s="30"/>
    </row>
    <row r="43" spans="2:19">
      <c r="B43" s="30"/>
      <c r="C43" s="30"/>
      <c r="D43" s="30"/>
      <c r="E43" s="30"/>
      <c r="F43" s="30"/>
      <c r="G43" s="30"/>
      <c r="H43" s="30"/>
      <c r="I43" s="30"/>
      <c r="J43" s="30"/>
      <c r="K43" s="30"/>
    </row>
    <row r="44" spans="2:19">
      <c r="B44" s="30"/>
      <c r="C44" s="30"/>
      <c r="D44" s="30"/>
      <c r="E44" s="30"/>
      <c r="F44" s="30"/>
      <c r="G44" s="30"/>
      <c r="H44" s="30"/>
      <c r="I44" s="30"/>
      <c r="J44" s="30"/>
      <c r="K44" s="30"/>
    </row>
    <row r="45" spans="2:19">
      <c r="B45" s="30"/>
      <c r="C45" s="30"/>
      <c r="D45" s="30"/>
      <c r="E45" s="30"/>
      <c r="F45" s="30"/>
      <c r="G45" s="30"/>
      <c r="H45" s="30"/>
      <c r="I45" s="30"/>
      <c r="J45" s="30"/>
      <c r="K45" s="30"/>
    </row>
    <row r="46" spans="2:19">
      <c r="B46" s="30"/>
      <c r="C46" s="30"/>
      <c r="D46" s="30"/>
      <c r="E46" s="30"/>
      <c r="F46" s="30"/>
      <c r="G46" s="30"/>
      <c r="H46" s="30"/>
      <c r="I46" s="30"/>
      <c r="J46" s="30"/>
      <c r="K46" s="30"/>
    </row>
    <row r="47" spans="2:19">
      <c r="B47" s="40" t="s">
        <v>284</v>
      </c>
    </row>
    <row r="48" spans="2:19">
      <c r="B48" s="30"/>
      <c r="C48" s="30"/>
      <c r="D48" s="30"/>
      <c r="E48" s="30"/>
      <c r="F48" s="30"/>
      <c r="G48" s="30"/>
      <c r="H48" s="30"/>
      <c r="I48" s="30"/>
      <c r="J48" s="30"/>
      <c r="K48" s="30"/>
    </row>
    <row r="49" spans="2:11">
      <c r="B49" s="46" t="s">
        <v>278</v>
      </c>
      <c r="C49" s="30"/>
      <c r="D49" s="30"/>
      <c r="E49" s="30"/>
      <c r="F49" s="30"/>
      <c r="G49" s="30"/>
      <c r="H49" s="30"/>
      <c r="I49" s="30"/>
      <c r="J49" s="30"/>
      <c r="K49" s="30"/>
    </row>
    <row r="50" spans="2:11">
      <c r="B50" s="30"/>
      <c r="C50" s="30"/>
      <c r="D50" s="30"/>
      <c r="E50" s="30"/>
      <c r="F50" s="30"/>
      <c r="G50" s="30"/>
      <c r="H50" s="30"/>
      <c r="I50" s="30"/>
      <c r="J50" s="30"/>
      <c r="K50" s="30"/>
    </row>
    <row r="51" spans="2:11">
      <c r="B51" s="30"/>
      <c r="C51" s="30"/>
      <c r="D51" s="30"/>
      <c r="E51" s="30"/>
      <c r="F51" s="30"/>
      <c r="G51" s="30"/>
      <c r="H51" s="30"/>
      <c r="I51" s="30"/>
      <c r="J51" s="30"/>
      <c r="K51" s="30"/>
    </row>
    <row r="52" spans="2:11">
      <c r="B52" s="30"/>
      <c r="C52" s="30"/>
      <c r="D52" s="30"/>
      <c r="E52" s="30"/>
      <c r="F52" s="30"/>
      <c r="G52" s="30"/>
      <c r="H52" s="30"/>
      <c r="I52" s="30"/>
      <c r="J52" s="30"/>
      <c r="K52" s="30"/>
    </row>
    <row r="53" spans="2:11">
      <c r="B53" s="30" t="str">
        <f>"Dépenses = "&amp;TEXT(ROUND(S23/1000000,2),"# ###,##")&amp;" millions d'€"</f>
        <v>Dépenses = 363,36 millions d'€</v>
      </c>
      <c r="C53" s="30"/>
      <c r="D53" s="30"/>
      <c r="E53" s="30"/>
      <c r="F53" s="30"/>
      <c r="G53" s="30"/>
      <c r="H53" s="30"/>
      <c r="I53" s="30"/>
      <c r="J53" s="30"/>
      <c r="K53" s="30"/>
    </row>
    <row r="54" spans="2:11">
      <c r="B54" s="30"/>
      <c r="C54" s="30"/>
      <c r="D54" s="30"/>
      <c r="E54" s="30"/>
      <c r="F54" s="30"/>
      <c r="G54" s="30"/>
      <c r="H54" s="30"/>
      <c r="I54" s="30"/>
      <c r="J54" s="30"/>
      <c r="K54" s="30"/>
    </row>
    <row r="55" spans="2:11">
      <c r="B55" s="30"/>
      <c r="C55" s="30"/>
      <c r="D55" s="30"/>
      <c r="E55" s="30"/>
      <c r="F55" s="30"/>
      <c r="G55" s="30"/>
      <c r="H55" s="30"/>
      <c r="I55" s="30"/>
      <c r="J55" s="30"/>
      <c r="K55" s="30"/>
    </row>
    <row r="56" spans="2:11">
      <c r="B56" s="30"/>
      <c r="C56" s="30"/>
      <c r="D56" s="30"/>
      <c r="E56" s="30"/>
      <c r="F56" s="30"/>
      <c r="G56" s="30"/>
      <c r="H56" s="30"/>
      <c r="I56" s="30"/>
      <c r="J56" s="30"/>
      <c r="K56" s="30"/>
    </row>
    <row r="57" spans="2:11">
      <c r="B57" s="30"/>
      <c r="C57" s="30"/>
      <c r="D57" s="30"/>
      <c r="E57" s="30"/>
      <c r="F57" s="30"/>
      <c r="G57" s="30"/>
      <c r="H57" s="30"/>
      <c r="I57" s="30"/>
      <c r="J57" s="30"/>
      <c r="K57" s="30"/>
    </row>
    <row r="58" spans="2:11">
      <c r="B58" s="30"/>
      <c r="C58" s="30"/>
      <c r="D58" s="30"/>
      <c r="E58" s="30"/>
      <c r="F58" s="30"/>
      <c r="G58" s="30"/>
      <c r="H58" s="30"/>
      <c r="I58" s="30"/>
      <c r="J58" s="30"/>
      <c r="K58" s="30"/>
    </row>
    <row r="59" spans="2:11">
      <c r="B59" s="30"/>
      <c r="C59" s="30"/>
      <c r="D59" s="30"/>
      <c r="E59" s="30"/>
      <c r="F59" s="30"/>
      <c r="G59" s="30"/>
      <c r="H59" s="30"/>
      <c r="I59" s="30"/>
      <c r="J59" s="30"/>
      <c r="K59" s="30"/>
    </row>
    <row r="60" spans="2:11">
      <c r="B60" s="30"/>
      <c r="C60" s="30"/>
      <c r="D60" s="30"/>
      <c r="E60" s="30"/>
      <c r="F60" s="30"/>
      <c r="G60" s="30"/>
      <c r="H60" s="30"/>
      <c r="I60" s="30"/>
      <c r="J60" s="30"/>
      <c r="K60" s="30"/>
    </row>
    <row r="61" spans="2:11">
      <c r="B61" s="30"/>
      <c r="C61" s="30"/>
      <c r="D61" s="30"/>
      <c r="E61" s="30"/>
      <c r="F61" s="30"/>
      <c r="G61" s="30"/>
      <c r="H61" s="30"/>
      <c r="I61" s="30"/>
      <c r="J61" s="30"/>
      <c r="K61" s="30"/>
    </row>
    <row r="62" spans="2:11">
      <c r="B62" s="30"/>
      <c r="C62" s="30"/>
      <c r="D62" s="30"/>
      <c r="E62" s="30"/>
      <c r="F62" s="30"/>
      <c r="G62" s="30"/>
      <c r="H62" s="30"/>
      <c r="I62" s="30"/>
      <c r="J62" s="30"/>
      <c r="K62" s="30"/>
    </row>
    <row r="63" spans="2:11">
      <c r="B63" s="40" t="s">
        <v>284</v>
      </c>
    </row>
    <row r="64" spans="2:11">
      <c r="B64" s="30"/>
      <c r="C64" s="30"/>
      <c r="D64" s="30"/>
      <c r="E64" s="30"/>
      <c r="F64" s="30"/>
      <c r="G64" s="30"/>
      <c r="H64" s="30"/>
      <c r="I64" s="30"/>
      <c r="J64" s="30"/>
      <c r="K64" s="30"/>
    </row>
    <row r="65" spans="2:11">
      <c r="B65" s="46" t="s">
        <v>183</v>
      </c>
      <c r="C65" s="30"/>
      <c r="D65" s="30"/>
      <c r="E65" s="30"/>
      <c r="F65" s="30"/>
      <c r="G65" s="30"/>
      <c r="H65" s="30"/>
      <c r="I65" s="30"/>
      <c r="J65" s="30"/>
      <c r="K65" s="30"/>
    </row>
    <row r="66" spans="2:11">
      <c r="B66" s="30"/>
      <c r="C66" s="30"/>
      <c r="D66" s="30"/>
      <c r="E66" s="30"/>
      <c r="F66" s="30"/>
      <c r="G66" s="30"/>
      <c r="H66" s="30"/>
      <c r="I66" s="30"/>
      <c r="J66" s="30"/>
      <c r="K66" s="30"/>
    </row>
    <row r="67" spans="2:11">
      <c r="B67" s="30"/>
      <c r="C67" s="30"/>
      <c r="D67" s="30"/>
      <c r="E67" s="30"/>
      <c r="F67" s="30"/>
      <c r="G67" s="30"/>
      <c r="H67" s="30"/>
      <c r="I67" s="30"/>
      <c r="J67" s="30"/>
      <c r="K67" s="30"/>
    </row>
    <row r="68" spans="2:11">
      <c r="B68" s="30"/>
      <c r="C68" s="30"/>
      <c r="D68" s="30"/>
      <c r="E68" s="30"/>
      <c r="F68" s="30"/>
      <c r="G68" s="30"/>
      <c r="H68" s="30"/>
      <c r="I68" s="30"/>
      <c r="J68" s="30"/>
      <c r="K68" s="30"/>
    </row>
    <row r="69" spans="2:11">
      <c r="B69" s="30"/>
      <c r="C69" s="30"/>
      <c r="D69" s="30"/>
      <c r="E69" s="30"/>
      <c r="F69" s="30"/>
      <c r="G69" s="30"/>
      <c r="H69" s="30"/>
      <c r="I69" s="30"/>
      <c r="J69" s="30"/>
      <c r="K69" s="30"/>
    </row>
    <row r="70" spans="2:11">
      <c r="B70" s="30"/>
      <c r="C70" s="30"/>
      <c r="D70" s="30"/>
      <c r="E70" s="30"/>
      <c r="F70" s="30"/>
      <c r="G70" s="30"/>
      <c r="H70" s="30"/>
      <c r="I70" s="30"/>
      <c r="J70" s="30"/>
      <c r="K70" s="30"/>
    </row>
    <row r="71" spans="2:11">
      <c r="B71" s="30"/>
      <c r="C71" s="30"/>
      <c r="D71" s="30"/>
      <c r="E71" s="30"/>
      <c r="F71" s="30"/>
      <c r="G71" s="30"/>
      <c r="H71" s="30"/>
      <c r="I71" s="30"/>
      <c r="J71" s="30"/>
      <c r="K71" s="30"/>
    </row>
    <row r="72" spans="2:11">
      <c r="B72" s="30"/>
      <c r="C72" s="30"/>
      <c r="D72" s="30"/>
      <c r="E72" s="30"/>
      <c r="F72" s="30"/>
      <c r="G72" s="30"/>
      <c r="H72" s="30"/>
      <c r="I72" s="30"/>
      <c r="J72" s="30"/>
      <c r="K72" s="30"/>
    </row>
    <row r="73" spans="2:11">
      <c r="B73" s="30"/>
      <c r="C73" s="30"/>
      <c r="D73" s="30"/>
      <c r="E73" s="30"/>
      <c r="F73" s="30"/>
      <c r="G73" s="30"/>
      <c r="H73" s="30"/>
      <c r="I73" s="30"/>
      <c r="J73" s="30"/>
      <c r="K73" s="30"/>
    </row>
    <row r="74" spans="2:11">
      <c r="B74" s="30"/>
      <c r="C74" s="30"/>
      <c r="D74" s="30"/>
      <c r="E74" s="30"/>
      <c r="F74" s="30"/>
      <c r="G74" s="30"/>
      <c r="H74" s="30"/>
      <c r="I74" s="30"/>
      <c r="J74" s="30"/>
      <c r="K74" s="30"/>
    </row>
    <row r="75" spans="2:11">
      <c r="B75" s="30"/>
      <c r="C75" s="30"/>
      <c r="D75" s="30"/>
      <c r="E75" s="30"/>
      <c r="F75" s="30"/>
      <c r="G75" s="30"/>
      <c r="H75" s="30"/>
      <c r="I75" s="30"/>
      <c r="J75" s="30"/>
      <c r="K75" s="30"/>
    </row>
    <row r="76" spans="2:11">
      <c r="B76" s="30"/>
      <c r="C76" s="30"/>
      <c r="D76" s="30"/>
      <c r="E76" s="30"/>
      <c r="F76" s="30"/>
      <c r="G76" s="30"/>
      <c r="H76" s="30"/>
      <c r="I76" s="30"/>
      <c r="J76" s="30"/>
      <c r="K76" s="30"/>
    </row>
    <row r="77" spans="2:11">
      <c r="B77" s="30"/>
      <c r="C77" s="30"/>
      <c r="D77" s="30"/>
      <c r="E77" s="30"/>
      <c r="F77" s="30"/>
      <c r="G77" s="30"/>
      <c r="H77" s="30"/>
      <c r="I77" s="30"/>
      <c r="J77" s="30"/>
      <c r="K77" s="30"/>
    </row>
    <row r="78" spans="2:11">
      <c r="B78" s="30"/>
      <c r="C78" s="30"/>
      <c r="D78" s="30"/>
      <c r="E78" s="30"/>
      <c r="F78" s="30"/>
      <c r="G78" s="30"/>
      <c r="H78" s="30"/>
      <c r="I78" s="30"/>
      <c r="J78" s="30"/>
      <c r="K78" s="30"/>
    </row>
    <row r="79" spans="2:11">
      <c r="B79" s="30"/>
      <c r="C79" s="30"/>
      <c r="D79" s="30"/>
      <c r="E79" s="30"/>
      <c r="F79" s="30"/>
      <c r="G79" s="30"/>
      <c r="H79" s="30"/>
      <c r="I79" s="30"/>
      <c r="J79" s="30"/>
      <c r="K79" s="30"/>
    </row>
    <row r="80" spans="2:11">
      <c r="B80" s="30"/>
      <c r="C80" s="30"/>
      <c r="D80" s="30"/>
      <c r="E80" s="30"/>
      <c r="F80" s="30"/>
      <c r="G80" s="30"/>
      <c r="H80" s="30"/>
      <c r="I80" s="30"/>
      <c r="J80" s="30"/>
      <c r="K80" s="30"/>
    </row>
    <row r="81" spans="2:11">
      <c r="B81" s="40" t="s">
        <v>284</v>
      </c>
    </row>
    <row r="82" spans="2:11">
      <c r="B82" s="30"/>
      <c r="C82" s="30"/>
      <c r="D82" s="30"/>
      <c r="E82" s="30"/>
      <c r="F82" s="30"/>
      <c r="G82" s="30"/>
      <c r="H82" s="30"/>
      <c r="I82" s="30"/>
      <c r="J82" s="30"/>
      <c r="K82" s="30"/>
    </row>
    <row r="83" spans="2:11" hidden="1">
      <c r="B83" s="25" t="s">
        <v>182</v>
      </c>
      <c r="C83" s="60">
        <f>V23</f>
        <v>791.81372379145762</v>
      </c>
    </row>
    <row r="84" spans="2:11" hidden="1">
      <c r="B84" s="25" t="s">
        <v>191</v>
      </c>
      <c r="C84" s="60">
        <f>V18</f>
        <v>1654.6975368230544</v>
      </c>
    </row>
    <row r="85" spans="2:11" hidden="1">
      <c r="B85" s="25" t="s">
        <v>151</v>
      </c>
      <c r="C85" s="60">
        <f>V13</f>
        <v>1861.6630756206171</v>
      </c>
    </row>
    <row r="86" spans="2:11" hidden="1">
      <c r="B86" s="25" t="s">
        <v>180</v>
      </c>
      <c r="C86" s="60">
        <f>V8</f>
        <v>381.18013084800526</v>
      </c>
    </row>
  </sheetData>
  <mergeCells count="91">
    <mergeCell ref="P5:P7"/>
    <mergeCell ref="P8:P12"/>
    <mergeCell ref="P13:P17"/>
    <mergeCell ref="P18:P22"/>
    <mergeCell ref="P23:P27"/>
    <mergeCell ref="M6:M7"/>
    <mergeCell ref="N6:N7"/>
    <mergeCell ref="O6:O7"/>
    <mergeCell ref="M5:O5"/>
    <mergeCell ref="M18:M22"/>
    <mergeCell ref="N18:N22"/>
    <mergeCell ref="O18:O22"/>
    <mergeCell ref="Q5:V5"/>
    <mergeCell ref="R6:R7"/>
    <mergeCell ref="R8:R12"/>
    <mergeCell ref="R13:R17"/>
    <mergeCell ref="R18:R22"/>
    <mergeCell ref="T6:T7"/>
    <mergeCell ref="Q18:Q22"/>
    <mergeCell ref="Q13:Q17"/>
    <mergeCell ref="Q6:Q7"/>
    <mergeCell ref="S6:S7"/>
    <mergeCell ref="V6:V7"/>
    <mergeCell ref="U8:U12"/>
    <mergeCell ref="U13:U17"/>
    <mergeCell ref="U18:U22"/>
    <mergeCell ref="U6:U7"/>
    <mergeCell ref="R23:R27"/>
    <mergeCell ref="V23:V27"/>
    <mergeCell ref="T8:T12"/>
    <mergeCell ref="T13:T17"/>
    <mergeCell ref="T18:T22"/>
    <mergeCell ref="T23:T27"/>
    <mergeCell ref="S23:S27"/>
    <mergeCell ref="S18:S22"/>
    <mergeCell ref="V18:V22"/>
    <mergeCell ref="V13:V17"/>
    <mergeCell ref="S13:S17"/>
    <mergeCell ref="U23:U27"/>
    <mergeCell ref="I23:I27"/>
    <mergeCell ref="J23:J27"/>
    <mergeCell ref="K23:K27"/>
    <mergeCell ref="L23:L27"/>
    <mergeCell ref="Q23:Q27"/>
    <mergeCell ref="O23:O27"/>
    <mergeCell ref="N23:N27"/>
    <mergeCell ref="M23:M27"/>
    <mergeCell ref="B18:B22"/>
    <mergeCell ref="D18:D22"/>
    <mergeCell ref="E18:E22"/>
    <mergeCell ref="G18:G22"/>
    <mergeCell ref="H18:H22"/>
    <mergeCell ref="B23:B27"/>
    <mergeCell ref="D23:D27"/>
    <mergeCell ref="E23:E27"/>
    <mergeCell ref="G23:G27"/>
    <mergeCell ref="H23:H27"/>
    <mergeCell ref="L18:L22"/>
    <mergeCell ref="I13:I17"/>
    <mergeCell ref="J13:J17"/>
    <mergeCell ref="K13:K17"/>
    <mergeCell ref="L13:L17"/>
    <mergeCell ref="I18:I22"/>
    <mergeCell ref="J18:J22"/>
    <mergeCell ref="K18:K22"/>
    <mergeCell ref="K8:K12"/>
    <mergeCell ref="L8:L12"/>
    <mergeCell ref="Q8:Q12"/>
    <mergeCell ref="S8:S12"/>
    <mergeCell ref="V8:V12"/>
    <mergeCell ref="B13:B17"/>
    <mergeCell ref="D13:D17"/>
    <mergeCell ref="E13:E17"/>
    <mergeCell ref="G13:G17"/>
    <mergeCell ref="H13:H17"/>
    <mergeCell ref="I8:I12"/>
    <mergeCell ref="J8:J12"/>
    <mergeCell ref="J5:L5"/>
    <mergeCell ref="B6:B7"/>
    <mergeCell ref="C6:C7"/>
    <mergeCell ref="D6:E6"/>
    <mergeCell ref="F6:I6"/>
    <mergeCell ref="J6:J7"/>
    <mergeCell ref="K6:K7"/>
    <mergeCell ref="L6:L7"/>
    <mergeCell ref="B8:B12"/>
    <mergeCell ref="D8:D12"/>
    <mergeCell ref="E8:E12"/>
    <mergeCell ref="G8:G12"/>
    <mergeCell ref="H8:H12"/>
    <mergeCell ref="D5:I5"/>
  </mergeCells>
  <hyperlinks>
    <hyperlink ref="A1" location="ACCUEIL!A1" display="ACCUEIL"/>
  </hyperlinks>
  <pageMargins left="0.7" right="0.7" top="0.75" bottom="0.75" header="0.3" footer="0.3"/>
  <pageSetup paperSize="9" orientation="portrait" r:id="rId1"/>
  <ignoredErrors>
    <ignoredError sqref="S14:S17" formula="1"/>
  </ignoredErrors>
  <drawing r:id="rId2"/>
</worksheet>
</file>

<file path=xl/worksheets/sheet7.xml><?xml version="1.0" encoding="utf-8"?>
<worksheet xmlns="http://schemas.openxmlformats.org/spreadsheetml/2006/main" xmlns:r="http://schemas.openxmlformats.org/officeDocument/2006/relationships">
  <sheetPr>
    <tabColor theme="9" tint="-0.499984740745262"/>
  </sheetPr>
  <dimension ref="A1:AQ217"/>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baseColWidth="10" defaultRowHeight="15"/>
  <cols>
    <col min="1" max="1" width="38.5703125" style="25" customWidth="1"/>
    <col min="2" max="2" width="15.28515625" style="25" bestFit="1" customWidth="1"/>
    <col min="3" max="3" width="18.140625" style="25" bestFit="1" customWidth="1"/>
    <col min="4" max="4" width="18.140625" style="25" customWidth="1"/>
    <col min="5" max="5" width="12.7109375" style="25" bestFit="1" customWidth="1"/>
    <col min="6" max="6" width="14.7109375" style="25" customWidth="1"/>
    <col min="7" max="7" width="14.85546875" style="25" bestFit="1" customWidth="1"/>
    <col min="8" max="8" width="14.7109375" style="25" bestFit="1" customWidth="1"/>
    <col min="9" max="9" width="14.28515625" style="25" bestFit="1" customWidth="1"/>
    <col min="10" max="10" width="15.28515625" style="25" bestFit="1" customWidth="1"/>
    <col min="11" max="11" width="17.5703125" style="25" bestFit="1" customWidth="1"/>
    <col min="12" max="12" width="12.5703125" style="57" bestFit="1" customWidth="1"/>
    <col min="13" max="13" width="14.7109375" style="57" customWidth="1"/>
    <col min="14" max="14" width="14.7109375" style="25" bestFit="1" customWidth="1"/>
    <col min="15" max="15" width="14.5703125" style="25" bestFit="1" customWidth="1"/>
    <col min="16" max="16" width="13" style="25" bestFit="1" customWidth="1"/>
    <col min="17" max="17" width="15.140625" style="25" bestFit="1" customWidth="1"/>
    <col min="18" max="18" width="17.42578125" style="25" bestFit="1" customWidth="1"/>
    <col min="19" max="19" width="12.5703125" style="25" bestFit="1" customWidth="1"/>
    <col min="20" max="20" width="14.7109375" style="25" customWidth="1"/>
    <col min="21" max="21" width="14.7109375" style="25" bestFit="1" customWidth="1"/>
    <col min="22" max="22" width="14.5703125" style="25" bestFit="1" customWidth="1"/>
    <col min="23" max="23" width="13" style="25" bestFit="1" customWidth="1"/>
    <col min="24" max="24" width="15.140625" style="25" bestFit="1" customWidth="1"/>
    <col min="25" max="25" width="17.42578125" style="25" bestFit="1" customWidth="1"/>
    <col min="26" max="26" width="12.5703125" style="25" bestFit="1" customWidth="1"/>
    <col min="27" max="27" width="14.7109375" style="25" customWidth="1"/>
    <col min="28" max="28" width="14.7109375" style="25" bestFit="1" customWidth="1"/>
    <col min="29" max="29" width="14.5703125" style="25" bestFit="1" customWidth="1"/>
    <col min="30" max="30" width="13.85546875" style="25" customWidth="1"/>
    <col min="31" max="31" width="15.140625" style="25" bestFit="1" customWidth="1"/>
    <col min="32" max="32" width="17.42578125" style="25" bestFit="1" customWidth="1"/>
    <col min="33" max="33" width="12.5703125" style="25" bestFit="1" customWidth="1"/>
    <col min="34" max="34" width="14.7109375" style="25" customWidth="1"/>
    <col min="35" max="35" width="13.85546875" style="25" customWidth="1"/>
    <col min="36" max="39" width="14.7109375" style="25" customWidth="1"/>
    <col min="40" max="40" width="14.5703125" style="25" bestFit="1" customWidth="1"/>
    <col min="41" max="41" width="19.5703125" style="25" customWidth="1"/>
    <col min="42" max="42" width="19.85546875" style="25" customWidth="1"/>
    <col min="43" max="16384" width="11.42578125" style="25"/>
  </cols>
  <sheetData>
    <row r="1" spans="1:43" ht="15.75" thickBot="1">
      <c r="A1" s="28" t="s">
        <v>206</v>
      </c>
    </row>
    <row r="2" spans="1:43">
      <c r="E2"/>
    </row>
    <row r="4" spans="1:43" ht="15" customHeight="1">
      <c r="A4" s="2"/>
      <c r="B4" s="428" t="s">
        <v>208</v>
      </c>
      <c r="C4" s="430" t="s">
        <v>334</v>
      </c>
      <c r="D4" s="433" t="s">
        <v>231</v>
      </c>
      <c r="E4" s="341" t="s">
        <v>261</v>
      </c>
      <c r="F4" s="341"/>
      <c r="G4" s="341"/>
      <c r="H4" s="341"/>
      <c r="I4" s="341"/>
      <c r="J4" s="341"/>
      <c r="K4" s="342"/>
      <c r="L4" s="332" t="s">
        <v>0</v>
      </c>
      <c r="M4" s="333"/>
      <c r="N4" s="333"/>
      <c r="O4" s="333"/>
      <c r="P4" s="333"/>
      <c r="Q4" s="333"/>
      <c r="R4" s="334"/>
      <c r="S4" s="343" t="s">
        <v>253</v>
      </c>
      <c r="T4" s="344"/>
      <c r="U4" s="344"/>
      <c r="V4" s="344"/>
      <c r="W4" s="344"/>
      <c r="X4" s="344"/>
      <c r="Y4" s="345"/>
      <c r="Z4" s="324" t="s">
        <v>157</v>
      </c>
      <c r="AA4" s="325"/>
      <c r="AB4" s="325"/>
      <c r="AC4" s="325"/>
      <c r="AD4" s="325"/>
      <c r="AE4" s="325"/>
      <c r="AF4" s="326"/>
      <c r="AG4" s="311" t="s">
        <v>254</v>
      </c>
      <c r="AH4" s="312"/>
      <c r="AI4" s="434" t="s">
        <v>257</v>
      </c>
      <c r="AJ4" s="434"/>
      <c r="AK4" s="437" t="s">
        <v>294</v>
      </c>
      <c r="AL4" s="438"/>
      <c r="AM4" s="441" t="s">
        <v>295</v>
      </c>
      <c r="AN4" s="307" t="s">
        <v>47</v>
      </c>
      <c r="AO4" s="307"/>
      <c r="AP4" s="307"/>
    </row>
    <row r="5" spans="1:43" ht="15" customHeight="1">
      <c r="A5" s="2"/>
      <c r="B5" s="428"/>
      <c r="C5" s="431"/>
      <c r="D5" s="433"/>
      <c r="E5" s="435" t="s">
        <v>159</v>
      </c>
      <c r="F5" s="348" t="s">
        <v>2</v>
      </c>
      <c r="G5" s="354" t="s">
        <v>251</v>
      </c>
      <c r="H5" s="355"/>
      <c r="I5" s="355"/>
      <c r="J5" s="355"/>
      <c r="K5" s="356"/>
      <c r="L5" s="357" t="s">
        <v>159</v>
      </c>
      <c r="M5" s="357" t="s">
        <v>2</v>
      </c>
      <c r="N5" s="335" t="s">
        <v>251</v>
      </c>
      <c r="O5" s="336"/>
      <c r="P5" s="336"/>
      <c r="Q5" s="336"/>
      <c r="R5" s="337"/>
      <c r="S5" s="359" t="s">
        <v>159</v>
      </c>
      <c r="T5" s="352" t="s">
        <v>2</v>
      </c>
      <c r="U5" s="361" t="s">
        <v>251</v>
      </c>
      <c r="V5" s="362"/>
      <c r="W5" s="362"/>
      <c r="X5" s="362"/>
      <c r="Y5" s="363"/>
      <c r="Z5" s="327" t="s">
        <v>159</v>
      </c>
      <c r="AA5" s="338" t="s">
        <v>2</v>
      </c>
      <c r="AB5" s="329" t="s">
        <v>251</v>
      </c>
      <c r="AC5" s="330"/>
      <c r="AD5" s="330"/>
      <c r="AE5" s="330"/>
      <c r="AF5" s="331"/>
      <c r="AG5" s="313" t="s">
        <v>159</v>
      </c>
      <c r="AH5" s="315" t="s">
        <v>2</v>
      </c>
      <c r="AI5" s="429" t="s">
        <v>159</v>
      </c>
      <c r="AJ5" s="429" t="s">
        <v>2</v>
      </c>
      <c r="AK5" s="439" t="s">
        <v>159</v>
      </c>
      <c r="AL5" s="439" t="s">
        <v>2</v>
      </c>
      <c r="AM5" s="442"/>
      <c r="AN5" s="305" t="s">
        <v>159</v>
      </c>
      <c r="AO5" s="306" t="s">
        <v>354</v>
      </c>
      <c r="AP5" s="305" t="s">
        <v>177</v>
      </c>
    </row>
    <row r="6" spans="1:43" ht="42.75" customHeight="1">
      <c r="A6" s="3"/>
      <c r="B6" s="428"/>
      <c r="C6" s="432"/>
      <c r="D6" s="433"/>
      <c r="E6" s="436"/>
      <c r="F6" s="349"/>
      <c r="G6" s="48" t="s">
        <v>43</v>
      </c>
      <c r="H6" s="48" t="s">
        <v>42</v>
      </c>
      <c r="I6" s="48" t="s">
        <v>41</v>
      </c>
      <c r="J6" s="48" t="s">
        <v>252</v>
      </c>
      <c r="K6" s="48" t="s">
        <v>39</v>
      </c>
      <c r="L6" s="358"/>
      <c r="M6" s="358"/>
      <c r="N6" s="49" t="s">
        <v>43</v>
      </c>
      <c r="O6" s="49" t="s">
        <v>42</v>
      </c>
      <c r="P6" s="49" t="s">
        <v>41</v>
      </c>
      <c r="Q6" s="49" t="s">
        <v>252</v>
      </c>
      <c r="R6" s="49" t="s">
        <v>39</v>
      </c>
      <c r="S6" s="360"/>
      <c r="T6" s="353"/>
      <c r="U6" s="50" t="s">
        <v>43</v>
      </c>
      <c r="V6" s="50" t="s">
        <v>42</v>
      </c>
      <c r="W6" s="50" t="s">
        <v>41</v>
      </c>
      <c r="X6" s="50" t="s">
        <v>252</v>
      </c>
      <c r="Y6" s="50" t="s">
        <v>39</v>
      </c>
      <c r="Z6" s="328"/>
      <c r="AA6" s="339"/>
      <c r="AB6" s="51" t="s">
        <v>43</v>
      </c>
      <c r="AC6" s="51" t="s">
        <v>42</v>
      </c>
      <c r="AD6" s="51" t="s">
        <v>41</v>
      </c>
      <c r="AE6" s="51" t="s">
        <v>252</v>
      </c>
      <c r="AF6" s="51" t="s">
        <v>39</v>
      </c>
      <c r="AG6" s="314"/>
      <c r="AH6" s="316"/>
      <c r="AI6" s="429"/>
      <c r="AJ6" s="429"/>
      <c r="AK6" s="440"/>
      <c r="AL6" s="440"/>
      <c r="AM6" s="443"/>
      <c r="AN6" s="305"/>
      <c r="AO6" s="305"/>
      <c r="AP6" s="305"/>
    </row>
    <row r="7" spans="1:43" s="57" customFormat="1" ht="15" customHeight="1">
      <c r="A7" s="86" t="s">
        <v>48</v>
      </c>
      <c r="B7" s="158" t="s">
        <v>212</v>
      </c>
      <c r="C7" s="161" t="s">
        <v>335</v>
      </c>
      <c r="D7" s="10"/>
      <c r="E7" s="65">
        <v>4</v>
      </c>
      <c r="F7" s="65">
        <f>SUM(G7:K7)</f>
        <v>2267.3900000000003</v>
      </c>
      <c r="G7" s="65">
        <v>93.62</v>
      </c>
      <c r="H7" s="65">
        <v>0</v>
      </c>
      <c r="I7" s="65">
        <v>30.22</v>
      </c>
      <c r="J7" s="65">
        <v>2143.5500000000002</v>
      </c>
      <c r="K7" s="65">
        <v>0</v>
      </c>
      <c r="L7" s="65">
        <v>0</v>
      </c>
      <c r="M7" s="65">
        <f>SUM(N7:R7)</f>
        <v>0</v>
      </c>
      <c r="N7" s="65">
        <v>0</v>
      </c>
      <c r="O7" s="65">
        <v>0</v>
      </c>
      <c r="P7" s="65">
        <v>0</v>
      </c>
      <c r="Q7" s="65">
        <v>0</v>
      </c>
      <c r="R7" s="65">
        <v>0</v>
      </c>
      <c r="S7" s="65">
        <v>5</v>
      </c>
      <c r="T7" s="65">
        <f>SUM(U7:Y7)</f>
        <v>370.85</v>
      </c>
      <c r="U7" s="65">
        <v>78</v>
      </c>
      <c r="V7" s="65">
        <v>59.62</v>
      </c>
      <c r="W7" s="65">
        <v>146.88</v>
      </c>
      <c r="X7" s="65">
        <v>0</v>
      </c>
      <c r="Y7" s="65">
        <v>86.35</v>
      </c>
      <c r="Z7" s="65">
        <f>E7+L7+S7</f>
        <v>9</v>
      </c>
      <c r="AA7" s="65">
        <f>F7+M7+T7</f>
        <v>2638.2400000000002</v>
      </c>
      <c r="AB7" s="65">
        <f>G7+N7+U7</f>
        <v>171.62</v>
      </c>
      <c r="AC7" s="65">
        <f>H7+O7+V7</f>
        <v>59.62</v>
      </c>
      <c r="AD7" s="65">
        <f t="shared" ref="AD7:AF7" si="0">I7+P7+W7</f>
        <v>177.1</v>
      </c>
      <c r="AE7" s="65">
        <f>J7+Q7+X7</f>
        <v>2143.5500000000002</v>
      </c>
      <c r="AF7" s="65">
        <f t="shared" si="0"/>
        <v>86.35</v>
      </c>
      <c r="AG7" s="65">
        <f>Z7</f>
        <v>9</v>
      </c>
      <c r="AH7" s="65">
        <f>AA7</f>
        <v>2638.2400000000002</v>
      </c>
      <c r="AI7" s="65">
        <v>0</v>
      </c>
      <c r="AJ7" s="65">
        <v>0</v>
      </c>
      <c r="AK7" s="65">
        <v>0</v>
      </c>
      <c r="AL7" s="65">
        <v>0</v>
      </c>
      <c r="AM7" s="65"/>
      <c r="AN7" s="65">
        <f>AG7+AI7+AK7</f>
        <v>9</v>
      </c>
      <c r="AO7" s="65">
        <f>AH7+AJ7+AL7</f>
        <v>2638.2400000000002</v>
      </c>
      <c r="AP7" s="65">
        <f>AO7/AN7</f>
        <v>293.13777777777779</v>
      </c>
    </row>
    <row r="8" spans="1:43" s="57" customFormat="1">
      <c r="A8" s="86" t="s">
        <v>49</v>
      </c>
      <c r="B8" s="158" t="s">
        <v>209</v>
      </c>
      <c r="C8" s="161" t="s">
        <v>335</v>
      </c>
      <c r="D8" s="10"/>
      <c r="E8" s="65">
        <v>483</v>
      </c>
      <c r="F8" s="65">
        <f t="shared" ref="F8:F73" si="1">SUM(G8:K8)</f>
        <v>118107.09</v>
      </c>
      <c r="G8" s="65">
        <v>18586.59</v>
      </c>
      <c r="H8" s="65">
        <v>781.69</v>
      </c>
      <c r="I8" s="65">
        <v>1749.91</v>
      </c>
      <c r="J8" s="65">
        <v>93391.03</v>
      </c>
      <c r="K8" s="65">
        <v>3597.87</v>
      </c>
      <c r="L8" s="65">
        <v>3</v>
      </c>
      <c r="M8" s="65">
        <f t="shared" ref="M8:M73" si="2">SUM(N8:R8)</f>
        <v>1919.3300000000002</v>
      </c>
      <c r="N8" s="65">
        <v>84.47</v>
      </c>
      <c r="O8" s="65">
        <v>0</v>
      </c>
      <c r="P8" s="65">
        <v>0</v>
      </c>
      <c r="Q8" s="65">
        <v>1781.67</v>
      </c>
      <c r="R8" s="65">
        <v>53.19</v>
      </c>
      <c r="S8" s="65">
        <v>236</v>
      </c>
      <c r="T8" s="65">
        <f t="shared" ref="T8:T73" si="3">SUM(U8:Y8)</f>
        <v>90900.34</v>
      </c>
      <c r="U8" s="65">
        <v>16337.59</v>
      </c>
      <c r="V8" s="65">
        <v>3629.03</v>
      </c>
      <c r="W8" s="65">
        <v>12461.68</v>
      </c>
      <c r="X8" s="65">
        <v>48767.1</v>
      </c>
      <c r="Y8" s="65">
        <v>9704.94</v>
      </c>
      <c r="Z8" s="65">
        <f t="shared" ref="Z8:Z73" si="4">E8+L8+S8</f>
        <v>722</v>
      </c>
      <c r="AA8" s="65">
        <f t="shared" ref="AA8:AA73" si="5">F8+M8+T8</f>
        <v>210926.76</v>
      </c>
      <c r="AB8" s="65">
        <f t="shared" ref="AB8:AB73" si="6">G8+N8+U8</f>
        <v>35008.65</v>
      </c>
      <c r="AC8" s="65">
        <f t="shared" ref="AC8:AC73" si="7">H8+O8+V8</f>
        <v>4410.72</v>
      </c>
      <c r="AD8" s="65">
        <f t="shared" ref="AD8:AD73" si="8">I8+P8+W8</f>
        <v>14211.59</v>
      </c>
      <c r="AE8" s="65">
        <f t="shared" ref="AE8:AE73" si="9">J8+Q8+X8</f>
        <v>143939.79999999999</v>
      </c>
      <c r="AF8" s="65">
        <f t="shared" ref="AF8:AF73" si="10">K8+R8+Y8</f>
        <v>13356</v>
      </c>
      <c r="AG8" s="65">
        <f t="shared" ref="AG8:AG73" si="11">Z8</f>
        <v>722</v>
      </c>
      <c r="AH8" s="65">
        <f t="shared" ref="AH8:AH73" si="12">AA8</f>
        <v>210926.76</v>
      </c>
      <c r="AI8" s="65">
        <v>0</v>
      </c>
      <c r="AJ8" s="65">
        <v>0</v>
      </c>
      <c r="AK8" s="65">
        <v>0</v>
      </c>
      <c r="AL8" s="65">
        <v>0</v>
      </c>
      <c r="AM8" s="65"/>
      <c r="AN8" s="65">
        <f t="shared" ref="AN8:AN53" si="13">AG8+AI8+AK8</f>
        <v>722</v>
      </c>
      <c r="AO8" s="65">
        <f t="shared" ref="AO8:AO71" si="14">AH8+AJ8+AL8</f>
        <v>210926.76</v>
      </c>
      <c r="AP8" s="65">
        <f t="shared" ref="AP8:AP73" si="15">AO8/AN8</f>
        <v>292.14232686980608</v>
      </c>
    </row>
    <row r="9" spans="1:43" s="57" customFormat="1">
      <c r="A9" s="86" t="s">
        <v>50</v>
      </c>
      <c r="B9" s="158" t="s">
        <v>210</v>
      </c>
      <c r="C9" s="161" t="s">
        <v>335</v>
      </c>
      <c r="D9" s="10"/>
      <c r="E9" s="65">
        <v>29</v>
      </c>
      <c r="F9" s="65">
        <f t="shared" si="1"/>
        <v>8904.65</v>
      </c>
      <c r="G9" s="65">
        <v>653.91999999999996</v>
      </c>
      <c r="H9" s="65">
        <v>14.9</v>
      </c>
      <c r="I9" s="65">
        <v>14.44</v>
      </c>
      <c r="J9" s="65">
        <v>7914.67</v>
      </c>
      <c r="K9" s="65">
        <v>306.72000000000003</v>
      </c>
      <c r="L9" s="65">
        <v>2</v>
      </c>
      <c r="M9" s="65">
        <f t="shared" si="2"/>
        <v>720</v>
      </c>
      <c r="N9" s="65">
        <v>0</v>
      </c>
      <c r="O9" s="65">
        <v>0</v>
      </c>
      <c r="P9" s="65">
        <v>0</v>
      </c>
      <c r="Q9" s="65">
        <v>720</v>
      </c>
      <c r="R9" s="65">
        <v>0</v>
      </c>
      <c r="S9" s="65">
        <v>10</v>
      </c>
      <c r="T9" s="65">
        <f t="shared" si="3"/>
        <v>130.81</v>
      </c>
      <c r="U9" s="65">
        <v>81.22</v>
      </c>
      <c r="V9" s="65">
        <v>38.979999999999997</v>
      </c>
      <c r="W9" s="65">
        <v>10.61</v>
      </c>
      <c r="X9" s="65">
        <v>0</v>
      </c>
      <c r="Y9" s="65">
        <v>0</v>
      </c>
      <c r="Z9" s="65">
        <f t="shared" si="4"/>
        <v>41</v>
      </c>
      <c r="AA9" s="65">
        <f t="shared" si="5"/>
        <v>9755.4599999999991</v>
      </c>
      <c r="AB9" s="65">
        <f t="shared" si="6"/>
        <v>735.14</v>
      </c>
      <c r="AC9" s="65">
        <f t="shared" si="7"/>
        <v>53.879999999999995</v>
      </c>
      <c r="AD9" s="65">
        <f t="shared" si="8"/>
        <v>25.049999999999997</v>
      </c>
      <c r="AE9" s="65">
        <f t="shared" si="9"/>
        <v>8634.67</v>
      </c>
      <c r="AF9" s="65">
        <f t="shared" si="10"/>
        <v>306.72000000000003</v>
      </c>
      <c r="AG9" s="65">
        <f t="shared" si="11"/>
        <v>41</v>
      </c>
      <c r="AH9" s="65">
        <f t="shared" si="12"/>
        <v>9755.4599999999991</v>
      </c>
      <c r="AI9" s="65">
        <v>0</v>
      </c>
      <c r="AJ9" s="65">
        <v>0</v>
      </c>
      <c r="AK9" s="65">
        <v>0</v>
      </c>
      <c r="AL9" s="65">
        <v>0</v>
      </c>
      <c r="AM9" s="65"/>
      <c r="AN9" s="65">
        <f t="shared" si="13"/>
        <v>41</v>
      </c>
      <c r="AO9" s="65">
        <f t="shared" si="14"/>
        <v>9755.4599999999991</v>
      </c>
      <c r="AP9" s="65">
        <f t="shared" si="15"/>
        <v>237.93804878048778</v>
      </c>
    </row>
    <row r="10" spans="1:43" s="57" customFormat="1">
      <c r="A10" s="86" t="s">
        <v>30</v>
      </c>
      <c r="B10" s="158" t="s">
        <v>209</v>
      </c>
      <c r="C10" s="161" t="s">
        <v>336</v>
      </c>
      <c r="D10" s="159" t="s">
        <v>174</v>
      </c>
      <c r="E10" s="65">
        <v>2717</v>
      </c>
      <c r="F10" s="65">
        <f t="shared" si="1"/>
        <v>573030.52</v>
      </c>
      <c r="G10" s="65">
        <v>45712.69000000001</v>
      </c>
      <c r="H10" s="65">
        <v>1267.6599999999999</v>
      </c>
      <c r="I10" s="65">
        <v>4599.1600000000008</v>
      </c>
      <c r="J10" s="65">
        <v>512859.48</v>
      </c>
      <c r="K10" s="65">
        <v>8591.5300000000007</v>
      </c>
      <c r="L10" s="65">
        <v>544</v>
      </c>
      <c r="M10" s="65">
        <f t="shared" si="2"/>
        <v>1974033.2200000002</v>
      </c>
      <c r="N10" s="65">
        <v>104.09</v>
      </c>
      <c r="O10" s="65">
        <v>0</v>
      </c>
      <c r="P10" s="65">
        <v>0</v>
      </c>
      <c r="Q10" s="65">
        <v>1970532.77</v>
      </c>
      <c r="R10" s="65">
        <v>3396.36</v>
      </c>
      <c r="S10" s="65">
        <v>164</v>
      </c>
      <c r="T10" s="65">
        <f t="shared" si="3"/>
        <v>12644.28</v>
      </c>
      <c r="U10" s="65">
        <v>4727.09</v>
      </c>
      <c r="V10" s="65">
        <v>1143.5</v>
      </c>
      <c r="W10" s="65">
        <v>1752.08</v>
      </c>
      <c r="X10" s="65">
        <v>1345.68</v>
      </c>
      <c r="Y10" s="65">
        <v>3675.9300000000003</v>
      </c>
      <c r="Z10" s="65">
        <f t="shared" si="4"/>
        <v>3425</v>
      </c>
      <c r="AA10" s="65">
        <f t="shared" si="5"/>
        <v>2559708.02</v>
      </c>
      <c r="AB10" s="65">
        <f t="shared" si="6"/>
        <v>50543.87000000001</v>
      </c>
      <c r="AC10" s="65">
        <f t="shared" si="7"/>
        <v>2411.16</v>
      </c>
      <c r="AD10" s="65">
        <f t="shared" si="8"/>
        <v>6351.2400000000007</v>
      </c>
      <c r="AE10" s="65">
        <f t="shared" si="9"/>
        <v>2484737.9300000002</v>
      </c>
      <c r="AF10" s="65">
        <f t="shared" si="10"/>
        <v>15663.820000000002</v>
      </c>
      <c r="AG10" s="65">
        <f t="shared" si="11"/>
        <v>3425</v>
      </c>
      <c r="AH10" s="65">
        <f t="shared" si="12"/>
        <v>2559708.02</v>
      </c>
      <c r="AI10" s="65">
        <v>197151</v>
      </c>
      <c r="AJ10" s="163">
        <v>69810956.996685907</v>
      </c>
      <c r="AK10" s="163">
        <v>0</v>
      </c>
      <c r="AL10" s="163">
        <v>0</v>
      </c>
      <c r="AM10" s="163">
        <v>6047988.2605097424</v>
      </c>
      <c r="AN10" s="65">
        <f t="shared" si="13"/>
        <v>200576</v>
      </c>
      <c r="AO10" s="65">
        <f t="shared" si="14"/>
        <v>72370665.016685903</v>
      </c>
      <c r="AP10" s="65">
        <f t="shared" si="15"/>
        <v>360.81418024432588</v>
      </c>
      <c r="AQ10" s="232"/>
    </row>
    <row r="11" spans="1:43" s="57" customFormat="1" ht="17.25">
      <c r="A11" s="132" t="s">
        <v>346</v>
      </c>
      <c r="B11" s="161" t="s">
        <v>210</v>
      </c>
      <c r="C11" s="161" t="s">
        <v>336</v>
      </c>
      <c r="D11" s="159"/>
      <c r="E11" s="65">
        <v>0</v>
      </c>
      <c r="F11" s="65">
        <f t="shared" si="1"/>
        <v>0</v>
      </c>
      <c r="G11" s="65">
        <v>0</v>
      </c>
      <c r="H11" s="65">
        <v>0</v>
      </c>
      <c r="I11" s="65">
        <v>0</v>
      </c>
      <c r="J11" s="65">
        <v>0</v>
      </c>
      <c r="K11" s="65">
        <v>0</v>
      </c>
      <c r="L11" s="65">
        <v>0</v>
      </c>
      <c r="M11" s="65">
        <f t="shared" si="2"/>
        <v>0</v>
      </c>
      <c r="N11" s="65">
        <v>0</v>
      </c>
      <c r="O11" s="65">
        <v>0</v>
      </c>
      <c r="P11" s="65">
        <v>0</v>
      </c>
      <c r="Q11" s="65">
        <v>0</v>
      </c>
      <c r="R11" s="65">
        <v>0</v>
      </c>
      <c r="S11" s="65">
        <v>0</v>
      </c>
      <c r="T11" s="65">
        <f t="shared" si="3"/>
        <v>0</v>
      </c>
      <c r="U11" s="65">
        <v>0</v>
      </c>
      <c r="V11" s="65">
        <v>0</v>
      </c>
      <c r="W11" s="65">
        <v>0</v>
      </c>
      <c r="X11" s="65">
        <v>0</v>
      </c>
      <c r="Y11" s="65">
        <v>0</v>
      </c>
      <c r="Z11" s="65">
        <f t="shared" ref="Z11" si="16">E11+L11+S11</f>
        <v>0</v>
      </c>
      <c r="AA11" s="65">
        <f t="shared" ref="AA11" si="17">F11+M11+T11</f>
        <v>0</v>
      </c>
      <c r="AB11" s="65">
        <f t="shared" ref="AB11" si="18">G11+N11+U11</f>
        <v>0</v>
      </c>
      <c r="AC11" s="65">
        <f t="shared" ref="AC11" si="19">H11+O11+V11</f>
        <v>0</v>
      </c>
      <c r="AD11" s="65">
        <f t="shared" ref="AD11" si="20">I11+P11+W11</f>
        <v>0</v>
      </c>
      <c r="AE11" s="65">
        <f t="shared" ref="AE11" si="21">J11+Q11+X11</f>
        <v>0</v>
      </c>
      <c r="AF11" s="65">
        <f t="shared" ref="AF11" si="22">K11+R11+Y11</f>
        <v>0</v>
      </c>
      <c r="AG11" s="65">
        <f t="shared" ref="AG11" si="23">Z11</f>
        <v>0</v>
      </c>
      <c r="AH11" s="65">
        <f t="shared" ref="AH11" si="24">AA11</f>
        <v>0</v>
      </c>
      <c r="AI11" s="65">
        <v>0</v>
      </c>
      <c r="AJ11" s="163">
        <v>0</v>
      </c>
      <c r="AK11" s="163">
        <v>0</v>
      </c>
      <c r="AL11" s="163">
        <v>0</v>
      </c>
      <c r="AM11" s="163"/>
      <c r="AN11" s="65">
        <f t="shared" ref="AN11" si="25">AG11+AI11+AK11</f>
        <v>0</v>
      </c>
      <c r="AO11" s="65">
        <f t="shared" si="14"/>
        <v>0</v>
      </c>
      <c r="AP11" s="65" t="e">
        <f t="shared" si="15"/>
        <v>#DIV/0!</v>
      </c>
    </row>
    <row r="12" spans="1:43" s="57" customFormat="1">
      <c r="A12" s="86" t="s">
        <v>31</v>
      </c>
      <c r="B12" s="158" t="s">
        <v>210</v>
      </c>
      <c r="C12" s="161" t="s">
        <v>336</v>
      </c>
      <c r="D12" s="159" t="s">
        <v>174</v>
      </c>
      <c r="E12" s="65">
        <v>1037</v>
      </c>
      <c r="F12" s="65">
        <f t="shared" si="1"/>
        <v>192070.16</v>
      </c>
      <c r="G12" s="65">
        <v>56327.73</v>
      </c>
      <c r="H12" s="65">
        <v>347.42</v>
      </c>
      <c r="I12" s="65">
        <v>2482.66</v>
      </c>
      <c r="J12" s="65">
        <v>128904.67000000001</v>
      </c>
      <c r="K12" s="65">
        <v>4007.68</v>
      </c>
      <c r="L12" s="65">
        <v>4</v>
      </c>
      <c r="M12" s="65">
        <f t="shared" si="2"/>
        <v>269.71999999999997</v>
      </c>
      <c r="N12" s="65">
        <v>201.20999999999998</v>
      </c>
      <c r="O12" s="65">
        <v>0</v>
      </c>
      <c r="P12" s="65">
        <v>43.02</v>
      </c>
      <c r="Q12" s="65">
        <v>0</v>
      </c>
      <c r="R12" s="65">
        <v>25.49</v>
      </c>
      <c r="S12" s="65">
        <v>1373</v>
      </c>
      <c r="T12" s="65">
        <f t="shared" si="3"/>
        <v>843141.75999999989</v>
      </c>
      <c r="U12" s="65">
        <v>313581.7</v>
      </c>
      <c r="V12" s="65">
        <v>48450.03</v>
      </c>
      <c r="W12" s="65">
        <v>138205.94</v>
      </c>
      <c r="X12" s="65">
        <v>310212.98</v>
      </c>
      <c r="Y12" s="65">
        <v>32691.11</v>
      </c>
      <c r="Z12" s="65">
        <f t="shared" si="4"/>
        <v>2414</v>
      </c>
      <c r="AA12" s="65">
        <f t="shared" si="5"/>
        <v>1035481.6399999999</v>
      </c>
      <c r="AB12" s="65">
        <f t="shared" si="6"/>
        <v>370110.64</v>
      </c>
      <c r="AC12" s="65">
        <f t="shared" si="7"/>
        <v>48797.45</v>
      </c>
      <c r="AD12" s="65">
        <f t="shared" si="8"/>
        <v>140731.62</v>
      </c>
      <c r="AE12" s="65">
        <f t="shared" si="9"/>
        <v>439117.65</v>
      </c>
      <c r="AF12" s="65">
        <f t="shared" si="10"/>
        <v>36724.28</v>
      </c>
      <c r="AG12" s="65">
        <f t="shared" si="11"/>
        <v>2414</v>
      </c>
      <c r="AH12" s="65">
        <f t="shared" si="12"/>
        <v>1035481.6399999999</v>
      </c>
      <c r="AI12" s="65">
        <v>0</v>
      </c>
      <c r="AJ12" s="65">
        <v>0</v>
      </c>
      <c r="AK12" s="65">
        <v>0</v>
      </c>
      <c r="AL12" s="65">
        <v>0</v>
      </c>
      <c r="AM12" s="65"/>
      <c r="AN12" s="65">
        <f t="shared" si="13"/>
        <v>2414</v>
      </c>
      <c r="AO12" s="65">
        <f t="shared" si="14"/>
        <v>1035481.6399999999</v>
      </c>
      <c r="AP12" s="65">
        <f t="shared" si="15"/>
        <v>428.94848384424188</v>
      </c>
    </row>
    <row r="13" spans="1:43" s="57" customFormat="1">
      <c r="A13" s="86" t="s">
        <v>51</v>
      </c>
      <c r="B13" s="158" t="s">
        <v>209</v>
      </c>
      <c r="C13" s="161" t="s">
        <v>335</v>
      </c>
      <c r="D13" s="10"/>
      <c r="E13" s="65">
        <v>3</v>
      </c>
      <c r="F13" s="65">
        <f t="shared" si="1"/>
        <v>329.84</v>
      </c>
      <c r="G13" s="65">
        <v>329.84</v>
      </c>
      <c r="H13" s="65">
        <v>0</v>
      </c>
      <c r="I13" s="65">
        <v>0</v>
      </c>
      <c r="J13" s="65">
        <v>0</v>
      </c>
      <c r="K13" s="65">
        <v>0</v>
      </c>
      <c r="L13" s="65">
        <v>0</v>
      </c>
      <c r="M13" s="65">
        <f t="shared" si="2"/>
        <v>0</v>
      </c>
      <c r="N13" s="65">
        <v>0</v>
      </c>
      <c r="O13" s="65">
        <v>0</v>
      </c>
      <c r="P13" s="65">
        <v>0</v>
      </c>
      <c r="Q13" s="65">
        <v>0</v>
      </c>
      <c r="R13" s="65">
        <v>0</v>
      </c>
      <c r="S13" s="65">
        <v>23</v>
      </c>
      <c r="T13" s="65">
        <f t="shared" si="3"/>
        <v>2617.31</v>
      </c>
      <c r="U13" s="65">
        <v>982.86</v>
      </c>
      <c r="V13" s="65">
        <v>5.59</v>
      </c>
      <c r="W13" s="65">
        <v>629.32999999999993</v>
      </c>
      <c r="X13" s="65">
        <v>485.9</v>
      </c>
      <c r="Y13" s="65">
        <v>513.63</v>
      </c>
      <c r="Z13" s="65">
        <f t="shared" si="4"/>
        <v>26</v>
      </c>
      <c r="AA13" s="65">
        <f t="shared" si="5"/>
        <v>2947.15</v>
      </c>
      <c r="AB13" s="65">
        <f t="shared" si="6"/>
        <v>1312.7</v>
      </c>
      <c r="AC13" s="65">
        <f t="shared" si="7"/>
        <v>5.59</v>
      </c>
      <c r="AD13" s="65">
        <f t="shared" si="8"/>
        <v>629.32999999999993</v>
      </c>
      <c r="AE13" s="65">
        <f t="shared" si="9"/>
        <v>485.9</v>
      </c>
      <c r="AF13" s="65">
        <f t="shared" si="10"/>
        <v>513.63</v>
      </c>
      <c r="AG13" s="65">
        <f t="shared" si="11"/>
        <v>26</v>
      </c>
      <c r="AH13" s="65">
        <f t="shared" si="12"/>
        <v>2947.15</v>
      </c>
      <c r="AI13" s="65">
        <v>0</v>
      </c>
      <c r="AJ13" s="65">
        <v>0</v>
      </c>
      <c r="AK13" s="65">
        <v>0</v>
      </c>
      <c r="AL13" s="65">
        <v>0</v>
      </c>
      <c r="AM13" s="65"/>
      <c r="AN13" s="65">
        <f t="shared" si="13"/>
        <v>26</v>
      </c>
      <c r="AO13" s="65">
        <f t="shared" si="14"/>
        <v>2947.15</v>
      </c>
      <c r="AP13" s="65">
        <f t="shared" si="15"/>
        <v>113.35192307692309</v>
      </c>
    </row>
    <row r="14" spans="1:43" s="57" customFormat="1">
      <c r="A14" s="132" t="s">
        <v>296</v>
      </c>
      <c r="B14" s="161" t="s">
        <v>211</v>
      </c>
      <c r="C14" s="161" t="s">
        <v>335</v>
      </c>
      <c r="D14" s="10"/>
      <c r="E14" s="65">
        <v>5</v>
      </c>
      <c r="F14" s="65">
        <f t="shared" si="1"/>
        <v>441.71999999999997</v>
      </c>
      <c r="G14" s="65">
        <v>63.620000000000005</v>
      </c>
      <c r="H14" s="65">
        <v>0</v>
      </c>
      <c r="I14" s="65">
        <v>14.31</v>
      </c>
      <c r="J14" s="65">
        <v>363.78999999999996</v>
      </c>
      <c r="K14" s="65">
        <v>0</v>
      </c>
      <c r="L14" s="65">
        <v>0</v>
      </c>
      <c r="M14" s="65">
        <f t="shared" si="2"/>
        <v>0</v>
      </c>
      <c r="N14" s="65">
        <v>0</v>
      </c>
      <c r="O14" s="65">
        <v>0</v>
      </c>
      <c r="P14" s="65">
        <v>0</v>
      </c>
      <c r="Q14" s="65">
        <v>0</v>
      </c>
      <c r="R14" s="65">
        <v>0</v>
      </c>
      <c r="S14" s="65">
        <v>0</v>
      </c>
      <c r="T14" s="65">
        <f t="shared" si="3"/>
        <v>0</v>
      </c>
      <c r="U14" s="65">
        <v>0</v>
      </c>
      <c r="V14" s="65">
        <v>0</v>
      </c>
      <c r="W14" s="65">
        <v>0</v>
      </c>
      <c r="X14" s="65">
        <v>0</v>
      </c>
      <c r="Y14" s="65">
        <v>0</v>
      </c>
      <c r="Z14" s="65">
        <f t="shared" si="4"/>
        <v>5</v>
      </c>
      <c r="AA14" s="65">
        <f t="shared" si="5"/>
        <v>441.71999999999997</v>
      </c>
      <c r="AB14" s="65">
        <f t="shared" si="6"/>
        <v>63.620000000000005</v>
      </c>
      <c r="AC14" s="65">
        <f t="shared" si="7"/>
        <v>0</v>
      </c>
      <c r="AD14" s="65">
        <f t="shared" si="8"/>
        <v>14.31</v>
      </c>
      <c r="AE14" s="65">
        <f t="shared" si="9"/>
        <v>363.78999999999996</v>
      </c>
      <c r="AF14" s="65">
        <f t="shared" si="10"/>
        <v>0</v>
      </c>
      <c r="AG14" s="65">
        <f t="shared" si="11"/>
        <v>5</v>
      </c>
      <c r="AH14" s="65">
        <f t="shared" si="12"/>
        <v>441.71999999999997</v>
      </c>
      <c r="AI14" s="65">
        <v>0</v>
      </c>
      <c r="AJ14" s="65">
        <v>0</v>
      </c>
      <c r="AK14" s="65">
        <v>0</v>
      </c>
      <c r="AL14" s="65">
        <v>0</v>
      </c>
      <c r="AM14" s="65"/>
      <c r="AN14" s="65">
        <f t="shared" si="13"/>
        <v>5</v>
      </c>
      <c r="AO14" s="65">
        <f t="shared" si="14"/>
        <v>441.71999999999997</v>
      </c>
      <c r="AP14" s="65">
        <f t="shared" si="15"/>
        <v>88.343999999999994</v>
      </c>
    </row>
    <row r="15" spans="1:43" s="57" customFormat="1">
      <c r="A15" s="86" t="s">
        <v>52</v>
      </c>
      <c r="B15" s="158" t="s">
        <v>212</v>
      </c>
      <c r="C15" s="161" t="s">
        <v>335</v>
      </c>
      <c r="D15" s="10"/>
      <c r="E15" s="65">
        <v>60</v>
      </c>
      <c r="F15" s="65">
        <f t="shared" si="1"/>
        <v>25435.350000000002</v>
      </c>
      <c r="G15" s="65">
        <v>2507.9699999999998</v>
      </c>
      <c r="H15" s="65">
        <v>491.76</v>
      </c>
      <c r="I15" s="65">
        <v>44.04</v>
      </c>
      <c r="J15" s="65">
        <v>22377.280000000002</v>
      </c>
      <c r="K15" s="65">
        <v>14.3</v>
      </c>
      <c r="L15" s="65">
        <v>1</v>
      </c>
      <c r="M15" s="65">
        <f t="shared" si="2"/>
        <v>28.84</v>
      </c>
      <c r="N15" s="65">
        <v>28.84</v>
      </c>
      <c r="O15" s="65">
        <v>0</v>
      </c>
      <c r="P15" s="65">
        <v>0</v>
      </c>
      <c r="Q15" s="65">
        <v>0</v>
      </c>
      <c r="R15" s="65">
        <v>0</v>
      </c>
      <c r="S15" s="65">
        <v>166</v>
      </c>
      <c r="T15" s="65">
        <f t="shared" si="3"/>
        <v>38091.929999999993</v>
      </c>
      <c r="U15" s="65">
        <v>9573.6</v>
      </c>
      <c r="V15" s="65">
        <v>2624.84</v>
      </c>
      <c r="W15" s="65">
        <v>6188.2</v>
      </c>
      <c r="X15" s="65">
        <v>12035.81</v>
      </c>
      <c r="Y15" s="65">
        <v>7669.48</v>
      </c>
      <c r="Z15" s="65">
        <f t="shared" si="4"/>
        <v>227</v>
      </c>
      <c r="AA15" s="65">
        <f t="shared" si="5"/>
        <v>63556.119999999995</v>
      </c>
      <c r="AB15" s="65">
        <f t="shared" si="6"/>
        <v>12110.41</v>
      </c>
      <c r="AC15" s="65">
        <f t="shared" si="7"/>
        <v>3116.6000000000004</v>
      </c>
      <c r="AD15" s="65">
        <f t="shared" si="8"/>
        <v>6232.24</v>
      </c>
      <c r="AE15" s="65">
        <f t="shared" si="9"/>
        <v>34413.090000000004</v>
      </c>
      <c r="AF15" s="65">
        <f t="shared" si="10"/>
        <v>7683.78</v>
      </c>
      <c r="AG15" s="65">
        <f t="shared" si="11"/>
        <v>227</v>
      </c>
      <c r="AH15" s="65">
        <f t="shared" si="12"/>
        <v>63556.119999999995</v>
      </c>
      <c r="AI15" s="65">
        <v>0</v>
      </c>
      <c r="AJ15" s="65">
        <v>0</v>
      </c>
      <c r="AK15" s="65">
        <v>0</v>
      </c>
      <c r="AL15" s="65">
        <v>0</v>
      </c>
      <c r="AM15" s="65"/>
      <c r="AN15" s="65">
        <f t="shared" si="13"/>
        <v>227</v>
      </c>
      <c r="AO15" s="65">
        <f t="shared" si="14"/>
        <v>63556.119999999995</v>
      </c>
      <c r="AP15" s="65">
        <f t="shared" si="15"/>
        <v>279.98290748898677</v>
      </c>
    </row>
    <row r="16" spans="1:43" s="57" customFormat="1">
      <c r="A16" s="86" t="s">
        <v>53</v>
      </c>
      <c r="B16" s="158" t="s">
        <v>211</v>
      </c>
      <c r="C16" s="161" t="s">
        <v>336</v>
      </c>
      <c r="D16" s="10"/>
      <c r="E16" s="65">
        <v>355</v>
      </c>
      <c r="F16" s="65">
        <f t="shared" si="1"/>
        <v>69799.859999999986</v>
      </c>
      <c r="G16" s="65">
        <v>12723.04</v>
      </c>
      <c r="H16" s="65">
        <v>328.78</v>
      </c>
      <c r="I16" s="65">
        <v>1224.6599999999999</v>
      </c>
      <c r="J16" s="65">
        <v>53170.619999999995</v>
      </c>
      <c r="K16" s="65">
        <v>2352.7600000000002</v>
      </c>
      <c r="L16" s="65">
        <v>1</v>
      </c>
      <c r="M16" s="65">
        <f t="shared" si="2"/>
        <v>59.47</v>
      </c>
      <c r="N16" s="65">
        <v>0</v>
      </c>
      <c r="O16" s="65">
        <v>0</v>
      </c>
      <c r="P16" s="65">
        <v>0</v>
      </c>
      <c r="Q16" s="65">
        <v>0</v>
      </c>
      <c r="R16" s="65">
        <v>59.47</v>
      </c>
      <c r="S16" s="65">
        <v>139</v>
      </c>
      <c r="T16" s="65">
        <f t="shared" si="3"/>
        <v>37380.870000000003</v>
      </c>
      <c r="U16" s="65">
        <v>13639.570000000002</v>
      </c>
      <c r="V16" s="65">
        <v>2258.64</v>
      </c>
      <c r="W16" s="65">
        <v>5320.6</v>
      </c>
      <c r="X16" s="65">
        <v>9075.7900000000009</v>
      </c>
      <c r="Y16" s="65">
        <v>7086.2699999999995</v>
      </c>
      <c r="Z16" s="65">
        <f t="shared" si="4"/>
        <v>495</v>
      </c>
      <c r="AA16" s="65">
        <f t="shared" si="5"/>
        <v>107240.19999999998</v>
      </c>
      <c r="AB16" s="65">
        <f t="shared" si="6"/>
        <v>26362.61</v>
      </c>
      <c r="AC16" s="65">
        <f t="shared" si="7"/>
        <v>2587.42</v>
      </c>
      <c r="AD16" s="65">
        <f t="shared" si="8"/>
        <v>6545.26</v>
      </c>
      <c r="AE16" s="65">
        <f t="shared" si="9"/>
        <v>62246.409999999996</v>
      </c>
      <c r="AF16" s="65">
        <f t="shared" si="10"/>
        <v>9498.5</v>
      </c>
      <c r="AG16" s="65">
        <f t="shared" si="11"/>
        <v>495</v>
      </c>
      <c r="AH16" s="65">
        <f t="shared" si="12"/>
        <v>107240.19999999998</v>
      </c>
      <c r="AI16" s="65">
        <v>0</v>
      </c>
      <c r="AJ16" s="65">
        <v>0</v>
      </c>
      <c r="AK16" s="65">
        <v>0</v>
      </c>
      <c r="AL16" s="65">
        <v>0</v>
      </c>
      <c r="AM16" s="65"/>
      <c r="AN16" s="65">
        <f t="shared" si="13"/>
        <v>495</v>
      </c>
      <c r="AO16" s="65">
        <f t="shared" si="14"/>
        <v>107240.19999999998</v>
      </c>
      <c r="AP16" s="65">
        <f t="shared" si="15"/>
        <v>216.64686868686866</v>
      </c>
    </row>
    <row r="17" spans="1:42" s="57" customFormat="1">
      <c r="A17" s="86" t="s">
        <v>54</v>
      </c>
      <c r="B17" s="158" t="s">
        <v>212</v>
      </c>
      <c r="C17" s="161" t="s">
        <v>335</v>
      </c>
      <c r="D17" s="10"/>
      <c r="E17" s="65">
        <v>34</v>
      </c>
      <c r="F17" s="65">
        <f t="shared" si="1"/>
        <v>12402.350000000002</v>
      </c>
      <c r="G17" s="65">
        <v>1351.87</v>
      </c>
      <c r="H17" s="65">
        <v>81.34</v>
      </c>
      <c r="I17" s="65">
        <v>168.13000000000002</v>
      </c>
      <c r="J17" s="65">
        <v>10801.010000000002</v>
      </c>
      <c r="K17" s="65">
        <v>0</v>
      </c>
      <c r="L17" s="65">
        <v>0</v>
      </c>
      <c r="M17" s="65">
        <f t="shared" si="2"/>
        <v>0</v>
      </c>
      <c r="N17" s="65">
        <v>0</v>
      </c>
      <c r="O17" s="65">
        <v>0</v>
      </c>
      <c r="P17" s="65">
        <v>0</v>
      </c>
      <c r="Q17" s="65">
        <v>0</v>
      </c>
      <c r="R17" s="65">
        <v>0</v>
      </c>
      <c r="S17" s="65">
        <v>12</v>
      </c>
      <c r="T17" s="65">
        <f t="shared" si="3"/>
        <v>1037.3400000000001</v>
      </c>
      <c r="U17" s="65">
        <v>343.13</v>
      </c>
      <c r="V17" s="65">
        <v>143.96</v>
      </c>
      <c r="W17" s="65">
        <v>50.07</v>
      </c>
      <c r="X17" s="65">
        <v>487.54</v>
      </c>
      <c r="Y17" s="65">
        <v>12.64</v>
      </c>
      <c r="Z17" s="65">
        <f t="shared" si="4"/>
        <v>46</v>
      </c>
      <c r="AA17" s="65">
        <f t="shared" si="5"/>
        <v>13439.690000000002</v>
      </c>
      <c r="AB17" s="65">
        <f t="shared" si="6"/>
        <v>1695</v>
      </c>
      <c r="AC17" s="65">
        <f t="shared" si="7"/>
        <v>225.3</v>
      </c>
      <c r="AD17" s="65">
        <f t="shared" si="8"/>
        <v>218.20000000000002</v>
      </c>
      <c r="AE17" s="65">
        <f t="shared" si="9"/>
        <v>11288.550000000003</v>
      </c>
      <c r="AF17" s="65">
        <f t="shared" si="10"/>
        <v>12.64</v>
      </c>
      <c r="AG17" s="65">
        <f t="shared" si="11"/>
        <v>46</v>
      </c>
      <c r="AH17" s="65">
        <f t="shared" si="12"/>
        <v>13439.690000000002</v>
      </c>
      <c r="AI17" s="65">
        <v>0</v>
      </c>
      <c r="AJ17" s="65">
        <v>0</v>
      </c>
      <c r="AK17" s="65">
        <v>0</v>
      </c>
      <c r="AL17" s="65">
        <v>0</v>
      </c>
      <c r="AM17" s="65"/>
      <c r="AN17" s="65">
        <f t="shared" si="13"/>
        <v>46</v>
      </c>
      <c r="AO17" s="65">
        <f t="shared" si="14"/>
        <v>13439.690000000002</v>
      </c>
      <c r="AP17" s="65">
        <f t="shared" si="15"/>
        <v>292.16717391304354</v>
      </c>
    </row>
    <row r="18" spans="1:42" s="57" customFormat="1">
      <c r="A18" s="86" t="s">
        <v>55</v>
      </c>
      <c r="B18" s="158" t="s">
        <v>213</v>
      </c>
      <c r="C18" s="161" t="s">
        <v>335</v>
      </c>
      <c r="D18" s="10"/>
      <c r="E18" s="65">
        <v>1091</v>
      </c>
      <c r="F18" s="65">
        <f t="shared" si="1"/>
        <v>229744.91</v>
      </c>
      <c r="G18" s="65">
        <v>59008.74</v>
      </c>
      <c r="H18" s="65">
        <v>905.26</v>
      </c>
      <c r="I18" s="65">
        <v>6564.8099999999995</v>
      </c>
      <c r="J18" s="65">
        <v>162133.43</v>
      </c>
      <c r="K18" s="65">
        <v>1132.6699999999998</v>
      </c>
      <c r="L18" s="65">
        <v>1</v>
      </c>
      <c r="M18" s="65">
        <f t="shared" si="2"/>
        <v>16.100000000000001</v>
      </c>
      <c r="N18" s="65">
        <v>16.100000000000001</v>
      </c>
      <c r="O18" s="65">
        <v>0</v>
      </c>
      <c r="P18" s="65">
        <v>0</v>
      </c>
      <c r="Q18" s="65">
        <v>0</v>
      </c>
      <c r="R18" s="65">
        <v>0</v>
      </c>
      <c r="S18" s="65">
        <v>163</v>
      </c>
      <c r="T18" s="65">
        <f t="shared" si="3"/>
        <v>69832.929999999993</v>
      </c>
      <c r="U18" s="65">
        <v>13311.41</v>
      </c>
      <c r="V18" s="65">
        <v>3712.4</v>
      </c>
      <c r="W18" s="65">
        <v>14411.169999999998</v>
      </c>
      <c r="X18" s="65">
        <v>29949.95</v>
      </c>
      <c r="Y18" s="65">
        <v>8448</v>
      </c>
      <c r="Z18" s="65">
        <f t="shared" si="4"/>
        <v>1255</v>
      </c>
      <c r="AA18" s="65">
        <f t="shared" si="5"/>
        <v>299593.94</v>
      </c>
      <c r="AB18" s="65">
        <f t="shared" si="6"/>
        <v>72336.25</v>
      </c>
      <c r="AC18" s="65">
        <f t="shared" si="7"/>
        <v>4617.66</v>
      </c>
      <c r="AD18" s="65">
        <f t="shared" si="8"/>
        <v>20975.979999999996</v>
      </c>
      <c r="AE18" s="65">
        <f t="shared" si="9"/>
        <v>192083.38</v>
      </c>
      <c r="AF18" s="65">
        <f t="shared" si="10"/>
        <v>9580.67</v>
      </c>
      <c r="AG18" s="65">
        <f t="shared" si="11"/>
        <v>1255</v>
      </c>
      <c r="AH18" s="65">
        <f t="shared" si="12"/>
        <v>299593.94</v>
      </c>
      <c r="AI18" s="65">
        <v>0</v>
      </c>
      <c r="AJ18" s="65">
        <v>0</v>
      </c>
      <c r="AK18" s="65">
        <v>0</v>
      </c>
      <c r="AL18" s="65">
        <v>0</v>
      </c>
      <c r="AM18" s="65"/>
      <c r="AN18" s="65">
        <f t="shared" si="13"/>
        <v>1255</v>
      </c>
      <c r="AO18" s="65">
        <f t="shared" si="14"/>
        <v>299593.94</v>
      </c>
      <c r="AP18" s="65">
        <f t="shared" si="15"/>
        <v>238.72027091633467</v>
      </c>
    </row>
    <row r="19" spans="1:42" s="57" customFormat="1">
      <c r="A19" s="86" t="s">
        <v>56</v>
      </c>
      <c r="B19" s="158" t="s">
        <v>212</v>
      </c>
      <c r="C19" s="161" t="s">
        <v>335</v>
      </c>
      <c r="D19" s="10"/>
      <c r="E19" s="65">
        <v>3</v>
      </c>
      <c r="F19" s="65">
        <f t="shared" si="1"/>
        <v>198.54</v>
      </c>
      <c r="G19" s="65">
        <v>198.54</v>
      </c>
      <c r="H19" s="65">
        <v>0</v>
      </c>
      <c r="I19" s="65">
        <v>0</v>
      </c>
      <c r="J19" s="65">
        <v>0</v>
      </c>
      <c r="K19" s="65">
        <v>0</v>
      </c>
      <c r="L19" s="65">
        <v>0</v>
      </c>
      <c r="M19" s="65">
        <f t="shared" si="2"/>
        <v>0</v>
      </c>
      <c r="N19" s="65">
        <v>0</v>
      </c>
      <c r="O19" s="65">
        <v>0</v>
      </c>
      <c r="P19" s="65">
        <v>0</v>
      </c>
      <c r="Q19" s="65">
        <v>0</v>
      </c>
      <c r="R19" s="65">
        <v>0</v>
      </c>
      <c r="S19" s="65">
        <v>3</v>
      </c>
      <c r="T19" s="65">
        <f t="shared" si="3"/>
        <v>264.96000000000004</v>
      </c>
      <c r="U19" s="65">
        <v>141.81</v>
      </c>
      <c r="V19" s="65">
        <v>116.65</v>
      </c>
      <c r="W19" s="65">
        <v>0</v>
      </c>
      <c r="X19" s="65">
        <v>0</v>
      </c>
      <c r="Y19" s="65">
        <v>6.5</v>
      </c>
      <c r="Z19" s="65">
        <f t="shared" si="4"/>
        <v>6</v>
      </c>
      <c r="AA19" s="65">
        <f t="shared" si="5"/>
        <v>463.5</v>
      </c>
      <c r="AB19" s="65">
        <f t="shared" si="6"/>
        <v>340.35</v>
      </c>
      <c r="AC19" s="65">
        <f t="shared" si="7"/>
        <v>116.65</v>
      </c>
      <c r="AD19" s="65">
        <f t="shared" si="8"/>
        <v>0</v>
      </c>
      <c r="AE19" s="65">
        <f t="shared" si="9"/>
        <v>0</v>
      </c>
      <c r="AF19" s="65">
        <f t="shared" si="10"/>
        <v>6.5</v>
      </c>
      <c r="AG19" s="65">
        <f t="shared" si="11"/>
        <v>6</v>
      </c>
      <c r="AH19" s="65">
        <f t="shared" si="12"/>
        <v>463.5</v>
      </c>
      <c r="AI19" s="65">
        <v>0</v>
      </c>
      <c r="AJ19" s="65">
        <v>0</v>
      </c>
      <c r="AK19" s="65">
        <v>0</v>
      </c>
      <c r="AL19" s="65">
        <v>0</v>
      </c>
      <c r="AM19" s="65"/>
      <c r="AN19" s="65">
        <f t="shared" si="13"/>
        <v>6</v>
      </c>
      <c r="AO19" s="65">
        <f t="shared" si="14"/>
        <v>463.5</v>
      </c>
      <c r="AP19" s="65">
        <f t="shared" si="15"/>
        <v>77.25</v>
      </c>
    </row>
    <row r="20" spans="1:42" s="57" customFormat="1">
      <c r="A20" s="132" t="s">
        <v>297</v>
      </c>
      <c r="B20" s="161" t="s">
        <v>211</v>
      </c>
      <c r="C20" s="161" t="s">
        <v>335</v>
      </c>
      <c r="D20" s="10"/>
      <c r="E20" s="65">
        <v>35</v>
      </c>
      <c r="F20" s="65">
        <f t="shared" si="1"/>
        <v>13005.300000000001</v>
      </c>
      <c r="G20" s="65">
        <v>1925.0800000000002</v>
      </c>
      <c r="H20" s="65">
        <v>31</v>
      </c>
      <c r="I20" s="65">
        <v>260.47000000000003</v>
      </c>
      <c r="J20" s="65">
        <v>10732.6</v>
      </c>
      <c r="K20" s="65">
        <v>56.15</v>
      </c>
      <c r="L20" s="65">
        <v>0</v>
      </c>
      <c r="M20" s="65">
        <f t="shared" si="2"/>
        <v>0</v>
      </c>
      <c r="N20" s="65">
        <v>0</v>
      </c>
      <c r="O20" s="65">
        <v>0</v>
      </c>
      <c r="P20" s="65">
        <v>0</v>
      </c>
      <c r="Q20" s="65">
        <v>0</v>
      </c>
      <c r="R20" s="65">
        <v>0</v>
      </c>
      <c r="S20" s="65">
        <v>0</v>
      </c>
      <c r="T20" s="65">
        <f t="shared" si="3"/>
        <v>0</v>
      </c>
      <c r="U20" s="65">
        <v>0</v>
      </c>
      <c r="V20" s="65">
        <v>0</v>
      </c>
      <c r="W20" s="65">
        <v>0</v>
      </c>
      <c r="X20" s="65">
        <v>0</v>
      </c>
      <c r="Y20" s="65">
        <v>0</v>
      </c>
      <c r="Z20" s="65">
        <f t="shared" si="4"/>
        <v>35</v>
      </c>
      <c r="AA20" s="65">
        <f t="shared" si="5"/>
        <v>13005.300000000001</v>
      </c>
      <c r="AB20" s="65">
        <f t="shared" si="6"/>
        <v>1925.0800000000002</v>
      </c>
      <c r="AC20" s="65">
        <f t="shared" si="7"/>
        <v>31</v>
      </c>
      <c r="AD20" s="65">
        <f t="shared" si="8"/>
        <v>260.47000000000003</v>
      </c>
      <c r="AE20" s="65">
        <f t="shared" si="9"/>
        <v>10732.6</v>
      </c>
      <c r="AF20" s="65">
        <f t="shared" si="10"/>
        <v>56.15</v>
      </c>
      <c r="AG20" s="65">
        <f t="shared" si="11"/>
        <v>35</v>
      </c>
      <c r="AH20" s="65">
        <f t="shared" si="12"/>
        <v>13005.300000000001</v>
      </c>
      <c r="AI20" s="65">
        <v>0</v>
      </c>
      <c r="AJ20" s="65">
        <v>0</v>
      </c>
      <c r="AK20" s="65">
        <v>0</v>
      </c>
      <c r="AL20" s="65">
        <v>0</v>
      </c>
      <c r="AM20" s="65"/>
      <c r="AN20" s="65">
        <f t="shared" si="13"/>
        <v>35</v>
      </c>
      <c r="AO20" s="65">
        <f t="shared" si="14"/>
        <v>13005.300000000001</v>
      </c>
      <c r="AP20" s="65">
        <f t="shared" si="15"/>
        <v>371.58000000000004</v>
      </c>
    </row>
    <row r="21" spans="1:42" s="57" customFormat="1">
      <c r="A21" s="86" t="s">
        <v>57</v>
      </c>
      <c r="B21" s="158" t="s">
        <v>212</v>
      </c>
      <c r="C21" s="161" t="s">
        <v>335</v>
      </c>
      <c r="D21" s="10"/>
      <c r="E21" s="65">
        <v>9</v>
      </c>
      <c r="F21" s="65">
        <f t="shared" si="1"/>
        <v>1728.29</v>
      </c>
      <c r="G21" s="65">
        <v>376</v>
      </c>
      <c r="H21" s="65">
        <v>52.5</v>
      </c>
      <c r="I21" s="65">
        <v>0</v>
      </c>
      <c r="J21" s="65">
        <v>1299.79</v>
      </c>
      <c r="K21" s="65">
        <v>0</v>
      </c>
      <c r="L21" s="65">
        <v>0</v>
      </c>
      <c r="M21" s="65">
        <f t="shared" si="2"/>
        <v>0</v>
      </c>
      <c r="N21" s="65">
        <v>0</v>
      </c>
      <c r="O21" s="65">
        <v>0</v>
      </c>
      <c r="P21" s="65">
        <v>0</v>
      </c>
      <c r="Q21" s="65">
        <v>0</v>
      </c>
      <c r="R21" s="65">
        <v>0</v>
      </c>
      <c r="S21" s="65">
        <v>53</v>
      </c>
      <c r="T21" s="65">
        <f t="shared" si="3"/>
        <v>13186.130000000001</v>
      </c>
      <c r="U21" s="65">
        <v>1903.3600000000001</v>
      </c>
      <c r="V21" s="65">
        <v>75.62</v>
      </c>
      <c r="W21" s="65">
        <v>5916.03</v>
      </c>
      <c r="X21" s="65">
        <v>4476.4399999999996</v>
      </c>
      <c r="Y21" s="65">
        <v>814.68</v>
      </c>
      <c r="Z21" s="65">
        <f t="shared" si="4"/>
        <v>62</v>
      </c>
      <c r="AA21" s="65">
        <f t="shared" si="5"/>
        <v>14914.420000000002</v>
      </c>
      <c r="AB21" s="65">
        <f t="shared" si="6"/>
        <v>2279.36</v>
      </c>
      <c r="AC21" s="65">
        <f t="shared" si="7"/>
        <v>128.12</v>
      </c>
      <c r="AD21" s="65">
        <f t="shared" si="8"/>
        <v>5916.03</v>
      </c>
      <c r="AE21" s="65">
        <f t="shared" si="9"/>
        <v>5776.23</v>
      </c>
      <c r="AF21" s="65">
        <f t="shared" si="10"/>
        <v>814.68</v>
      </c>
      <c r="AG21" s="65">
        <f t="shared" si="11"/>
        <v>62</v>
      </c>
      <c r="AH21" s="65">
        <f t="shared" si="12"/>
        <v>14914.420000000002</v>
      </c>
      <c r="AI21" s="65">
        <v>0</v>
      </c>
      <c r="AJ21" s="65">
        <v>0</v>
      </c>
      <c r="AK21" s="65">
        <v>0</v>
      </c>
      <c r="AL21" s="65">
        <v>0</v>
      </c>
      <c r="AM21" s="65"/>
      <c r="AN21" s="65">
        <f t="shared" si="13"/>
        <v>62</v>
      </c>
      <c r="AO21" s="65">
        <f t="shared" si="14"/>
        <v>14914.420000000002</v>
      </c>
      <c r="AP21" s="65">
        <f t="shared" si="15"/>
        <v>240.55516129032262</v>
      </c>
    </row>
    <row r="22" spans="1:42" s="57" customFormat="1">
      <c r="A22" s="86" t="s">
        <v>58</v>
      </c>
      <c r="B22" s="158" t="s">
        <v>212</v>
      </c>
      <c r="C22" s="161" t="s">
        <v>335</v>
      </c>
      <c r="D22" s="10"/>
      <c r="E22" s="65">
        <v>1</v>
      </c>
      <c r="F22" s="65">
        <f t="shared" si="1"/>
        <v>76.22</v>
      </c>
      <c r="G22" s="65">
        <v>76.22</v>
      </c>
      <c r="H22" s="65">
        <v>0</v>
      </c>
      <c r="I22" s="65">
        <v>0</v>
      </c>
      <c r="J22" s="65">
        <v>0</v>
      </c>
      <c r="K22" s="65">
        <v>0</v>
      </c>
      <c r="L22" s="65">
        <v>0</v>
      </c>
      <c r="M22" s="65">
        <f t="shared" si="2"/>
        <v>0</v>
      </c>
      <c r="N22" s="65">
        <v>0</v>
      </c>
      <c r="O22" s="65">
        <v>0</v>
      </c>
      <c r="P22" s="65">
        <v>0</v>
      </c>
      <c r="Q22" s="65">
        <v>0</v>
      </c>
      <c r="R22" s="65">
        <v>0</v>
      </c>
      <c r="S22" s="65">
        <v>3</v>
      </c>
      <c r="T22" s="65">
        <f t="shared" si="3"/>
        <v>413.07</v>
      </c>
      <c r="U22" s="65">
        <v>11.88</v>
      </c>
      <c r="V22" s="65">
        <v>0</v>
      </c>
      <c r="W22" s="65">
        <v>0</v>
      </c>
      <c r="X22" s="65">
        <v>394.94</v>
      </c>
      <c r="Y22" s="65">
        <v>6.25</v>
      </c>
      <c r="Z22" s="65">
        <f t="shared" si="4"/>
        <v>4</v>
      </c>
      <c r="AA22" s="65">
        <f t="shared" si="5"/>
        <v>489.28999999999996</v>
      </c>
      <c r="AB22" s="65">
        <f t="shared" si="6"/>
        <v>88.1</v>
      </c>
      <c r="AC22" s="65">
        <f t="shared" si="7"/>
        <v>0</v>
      </c>
      <c r="AD22" s="65">
        <f t="shared" si="8"/>
        <v>0</v>
      </c>
      <c r="AE22" s="65">
        <f t="shared" si="9"/>
        <v>394.94</v>
      </c>
      <c r="AF22" s="65">
        <f t="shared" si="10"/>
        <v>6.25</v>
      </c>
      <c r="AG22" s="65">
        <f t="shared" si="11"/>
        <v>4</v>
      </c>
      <c r="AH22" s="65">
        <f t="shared" si="12"/>
        <v>489.28999999999996</v>
      </c>
      <c r="AI22" s="65">
        <v>0</v>
      </c>
      <c r="AJ22" s="65">
        <v>0</v>
      </c>
      <c r="AK22" s="65">
        <v>0</v>
      </c>
      <c r="AL22" s="65">
        <v>0</v>
      </c>
      <c r="AM22" s="65"/>
      <c r="AN22" s="65">
        <f t="shared" si="13"/>
        <v>4</v>
      </c>
      <c r="AO22" s="65">
        <f t="shared" si="14"/>
        <v>489.28999999999996</v>
      </c>
      <c r="AP22" s="65">
        <f t="shared" si="15"/>
        <v>122.32249999999999</v>
      </c>
    </row>
    <row r="23" spans="1:42" s="57" customFormat="1">
      <c r="A23" s="132" t="s">
        <v>298</v>
      </c>
      <c r="B23" s="161" t="s">
        <v>211</v>
      </c>
      <c r="C23" s="161" t="s">
        <v>335</v>
      </c>
      <c r="D23" s="10"/>
      <c r="E23" s="65">
        <v>13</v>
      </c>
      <c r="F23" s="65">
        <f t="shared" si="1"/>
        <v>937.24</v>
      </c>
      <c r="G23" s="65">
        <v>540.12</v>
      </c>
      <c r="H23" s="65">
        <v>0</v>
      </c>
      <c r="I23" s="65">
        <v>43.89</v>
      </c>
      <c r="J23" s="65">
        <v>353.23</v>
      </c>
      <c r="K23" s="65">
        <v>0</v>
      </c>
      <c r="L23" s="65">
        <v>0</v>
      </c>
      <c r="M23" s="65">
        <f t="shared" si="2"/>
        <v>0</v>
      </c>
      <c r="N23" s="65">
        <v>0</v>
      </c>
      <c r="O23" s="65">
        <v>0</v>
      </c>
      <c r="P23" s="65">
        <v>0</v>
      </c>
      <c r="Q23" s="65">
        <v>0</v>
      </c>
      <c r="R23" s="65">
        <v>0</v>
      </c>
      <c r="S23" s="65">
        <v>0</v>
      </c>
      <c r="T23" s="65">
        <f t="shared" si="3"/>
        <v>0</v>
      </c>
      <c r="U23" s="65">
        <v>0</v>
      </c>
      <c r="V23" s="65">
        <v>0</v>
      </c>
      <c r="W23" s="65">
        <v>0</v>
      </c>
      <c r="X23" s="65">
        <v>0</v>
      </c>
      <c r="Y23" s="65">
        <v>0</v>
      </c>
      <c r="Z23" s="65">
        <f t="shared" si="4"/>
        <v>13</v>
      </c>
      <c r="AA23" s="65">
        <f t="shared" si="5"/>
        <v>937.24</v>
      </c>
      <c r="AB23" s="65">
        <f t="shared" si="6"/>
        <v>540.12</v>
      </c>
      <c r="AC23" s="65">
        <f t="shared" si="7"/>
        <v>0</v>
      </c>
      <c r="AD23" s="65">
        <f t="shared" si="8"/>
        <v>43.89</v>
      </c>
      <c r="AE23" s="65">
        <f t="shared" si="9"/>
        <v>353.23</v>
      </c>
      <c r="AF23" s="65">
        <f t="shared" si="10"/>
        <v>0</v>
      </c>
      <c r="AG23" s="65">
        <f t="shared" si="11"/>
        <v>13</v>
      </c>
      <c r="AH23" s="65">
        <f t="shared" si="12"/>
        <v>937.24</v>
      </c>
      <c r="AI23" s="65">
        <v>0</v>
      </c>
      <c r="AJ23" s="65">
        <v>0</v>
      </c>
      <c r="AK23" s="65">
        <v>0</v>
      </c>
      <c r="AL23" s="65">
        <v>0</v>
      </c>
      <c r="AM23" s="65"/>
      <c r="AN23" s="65">
        <f t="shared" si="13"/>
        <v>13</v>
      </c>
      <c r="AO23" s="65">
        <f t="shared" si="14"/>
        <v>937.24</v>
      </c>
      <c r="AP23" s="65">
        <f t="shared" si="15"/>
        <v>72.095384615384617</v>
      </c>
    </row>
    <row r="24" spans="1:42" s="57" customFormat="1">
      <c r="A24" s="86" t="s">
        <v>161</v>
      </c>
      <c r="B24" s="158" t="s">
        <v>211</v>
      </c>
      <c r="C24" s="161" t="s">
        <v>335</v>
      </c>
      <c r="D24" s="10"/>
      <c r="E24" s="65">
        <v>11</v>
      </c>
      <c r="F24" s="65">
        <f t="shared" si="1"/>
        <v>2064.73</v>
      </c>
      <c r="G24" s="65">
        <v>400.99</v>
      </c>
      <c r="H24" s="65">
        <v>20.56</v>
      </c>
      <c r="I24" s="65">
        <v>41.32</v>
      </c>
      <c r="J24" s="65">
        <v>1601.8600000000001</v>
      </c>
      <c r="K24" s="65">
        <v>0</v>
      </c>
      <c r="L24" s="65">
        <v>0</v>
      </c>
      <c r="M24" s="65">
        <f t="shared" si="2"/>
        <v>0</v>
      </c>
      <c r="N24" s="65">
        <v>0</v>
      </c>
      <c r="O24" s="65">
        <v>0</v>
      </c>
      <c r="P24" s="65">
        <v>0</v>
      </c>
      <c r="Q24" s="65">
        <v>0</v>
      </c>
      <c r="R24" s="65">
        <v>0</v>
      </c>
      <c r="S24" s="65">
        <v>2</v>
      </c>
      <c r="T24" s="65">
        <f t="shared" si="3"/>
        <v>318.41999999999996</v>
      </c>
      <c r="U24" s="65">
        <v>63.28</v>
      </c>
      <c r="V24" s="65">
        <v>13.5</v>
      </c>
      <c r="W24" s="65">
        <v>241.64</v>
      </c>
      <c r="X24" s="65">
        <v>0</v>
      </c>
      <c r="Y24" s="65">
        <v>0</v>
      </c>
      <c r="Z24" s="65">
        <f t="shared" si="4"/>
        <v>13</v>
      </c>
      <c r="AA24" s="65">
        <f t="shared" si="5"/>
        <v>2383.15</v>
      </c>
      <c r="AB24" s="65">
        <f t="shared" si="6"/>
        <v>464.27</v>
      </c>
      <c r="AC24" s="65">
        <f t="shared" si="7"/>
        <v>34.06</v>
      </c>
      <c r="AD24" s="65">
        <f t="shared" si="8"/>
        <v>282.95999999999998</v>
      </c>
      <c r="AE24" s="65">
        <f t="shared" si="9"/>
        <v>1601.8600000000001</v>
      </c>
      <c r="AF24" s="65">
        <f t="shared" si="10"/>
        <v>0</v>
      </c>
      <c r="AG24" s="65">
        <f t="shared" si="11"/>
        <v>13</v>
      </c>
      <c r="AH24" s="65">
        <f t="shared" si="12"/>
        <v>2383.15</v>
      </c>
      <c r="AI24" s="65">
        <v>0</v>
      </c>
      <c r="AJ24" s="65">
        <v>0</v>
      </c>
      <c r="AK24" s="65">
        <v>0</v>
      </c>
      <c r="AL24" s="65">
        <v>0</v>
      </c>
      <c r="AM24" s="65"/>
      <c r="AN24" s="65">
        <f t="shared" si="13"/>
        <v>13</v>
      </c>
      <c r="AO24" s="65">
        <f t="shared" si="14"/>
        <v>2383.15</v>
      </c>
      <c r="AP24" s="65">
        <f t="shared" si="15"/>
        <v>183.31923076923078</v>
      </c>
    </row>
    <row r="25" spans="1:42" s="57" customFormat="1">
      <c r="A25" s="86" t="s">
        <v>153</v>
      </c>
      <c r="B25" s="158" t="s">
        <v>209</v>
      </c>
      <c r="C25" s="161" t="s">
        <v>336</v>
      </c>
      <c r="D25" s="159" t="s">
        <v>174</v>
      </c>
      <c r="E25" s="65">
        <v>125</v>
      </c>
      <c r="F25" s="65">
        <f t="shared" si="1"/>
        <v>19315.05</v>
      </c>
      <c r="G25" s="65">
        <v>2737.36</v>
      </c>
      <c r="H25" s="65">
        <v>158.44</v>
      </c>
      <c r="I25" s="65">
        <v>650.90000000000009</v>
      </c>
      <c r="J25" s="65">
        <v>15426.359999999999</v>
      </c>
      <c r="K25" s="65">
        <v>341.99</v>
      </c>
      <c r="L25" s="65">
        <v>6</v>
      </c>
      <c r="M25" s="65">
        <f t="shared" si="2"/>
        <v>15357.93</v>
      </c>
      <c r="N25" s="65">
        <v>0</v>
      </c>
      <c r="O25" s="65">
        <v>0</v>
      </c>
      <c r="P25" s="65">
        <v>0</v>
      </c>
      <c r="Q25" s="65">
        <v>15357.93</v>
      </c>
      <c r="R25" s="65">
        <v>0</v>
      </c>
      <c r="S25" s="65">
        <v>115</v>
      </c>
      <c r="T25" s="65">
        <f t="shared" si="3"/>
        <v>22872.11</v>
      </c>
      <c r="U25" s="65">
        <v>6380.33</v>
      </c>
      <c r="V25" s="65">
        <v>1332.6999999999998</v>
      </c>
      <c r="W25" s="65">
        <v>4335.3999999999996</v>
      </c>
      <c r="X25" s="65">
        <v>4068.2700000000004</v>
      </c>
      <c r="Y25" s="65">
        <v>6755.41</v>
      </c>
      <c r="Z25" s="65">
        <f t="shared" si="4"/>
        <v>246</v>
      </c>
      <c r="AA25" s="65">
        <f t="shared" si="5"/>
        <v>57545.09</v>
      </c>
      <c r="AB25" s="65">
        <f t="shared" si="6"/>
        <v>9117.69</v>
      </c>
      <c r="AC25" s="65">
        <f t="shared" si="7"/>
        <v>1491.1399999999999</v>
      </c>
      <c r="AD25" s="65">
        <f t="shared" si="8"/>
        <v>4986.2999999999993</v>
      </c>
      <c r="AE25" s="65">
        <f t="shared" si="9"/>
        <v>34852.559999999998</v>
      </c>
      <c r="AF25" s="65">
        <f t="shared" si="10"/>
        <v>7097.4</v>
      </c>
      <c r="AG25" s="65">
        <f t="shared" si="11"/>
        <v>246</v>
      </c>
      <c r="AH25" s="65">
        <f t="shared" si="12"/>
        <v>57545.09</v>
      </c>
      <c r="AI25" s="65">
        <v>0</v>
      </c>
      <c r="AJ25" s="65">
        <v>0</v>
      </c>
      <c r="AK25" s="65">
        <v>0</v>
      </c>
      <c r="AL25" s="65">
        <v>0</v>
      </c>
      <c r="AM25" s="65"/>
      <c r="AN25" s="65">
        <f t="shared" si="13"/>
        <v>246</v>
      </c>
      <c r="AO25" s="65">
        <f t="shared" si="14"/>
        <v>57545.09</v>
      </c>
      <c r="AP25" s="65">
        <f t="shared" si="15"/>
        <v>233.9231300813008</v>
      </c>
    </row>
    <row r="26" spans="1:42" s="57" customFormat="1">
      <c r="A26" s="132" t="s">
        <v>299</v>
      </c>
      <c r="B26" s="161" t="s">
        <v>212</v>
      </c>
      <c r="C26" s="161" t="s">
        <v>335</v>
      </c>
      <c r="D26" s="159"/>
      <c r="E26" s="65">
        <v>0</v>
      </c>
      <c r="F26" s="65">
        <f t="shared" si="1"/>
        <v>0</v>
      </c>
      <c r="G26" s="65">
        <v>0</v>
      </c>
      <c r="H26" s="65">
        <v>0</v>
      </c>
      <c r="I26" s="65">
        <v>0</v>
      </c>
      <c r="J26" s="65">
        <v>0</v>
      </c>
      <c r="K26" s="65">
        <v>0</v>
      </c>
      <c r="L26" s="65">
        <v>0</v>
      </c>
      <c r="M26" s="65">
        <f t="shared" si="2"/>
        <v>0</v>
      </c>
      <c r="N26" s="65">
        <v>0</v>
      </c>
      <c r="O26" s="65">
        <v>0</v>
      </c>
      <c r="P26" s="65">
        <v>0</v>
      </c>
      <c r="Q26" s="65">
        <v>0</v>
      </c>
      <c r="R26" s="65">
        <v>0</v>
      </c>
      <c r="S26" s="65">
        <v>0</v>
      </c>
      <c r="T26" s="65">
        <f t="shared" si="3"/>
        <v>0</v>
      </c>
      <c r="U26" s="65">
        <v>0</v>
      </c>
      <c r="V26" s="65">
        <v>0</v>
      </c>
      <c r="W26" s="65">
        <v>0</v>
      </c>
      <c r="X26" s="65">
        <v>0</v>
      </c>
      <c r="Y26" s="65">
        <v>0</v>
      </c>
      <c r="Z26" s="65">
        <f t="shared" si="4"/>
        <v>0</v>
      </c>
      <c r="AA26" s="65">
        <f t="shared" si="5"/>
        <v>0</v>
      </c>
      <c r="AB26" s="65">
        <f t="shared" si="6"/>
        <v>0</v>
      </c>
      <c r="AC26" s="65">
        <f t="shared" si="7"/>
        <v>0</v>
      </c>
      <c r="AD26" s="65">
        <f t="shared" si="8"/>
        <v>0</v>
      </c>
      <c r="AE26" s="65">
        <f t="shared" si="9"/>
        <v>0</v>
      </c>
      <c r="AF26" s="65">
        <f t="shared" si="10"/>
        <v>0</v>
      </c>
      <c r="AG26" s="65">
        <f t="shared" si="11"/>
        <v>0</v>
      </c>
      <c r="AH26" s="65">
        <f t="shared" si="12"/>
        <v>0</v>
      </c>
      <c r="AI26" s="65">
        <v>0</v>
      </c>
      <c r="AJ26" s="65">
        <v>0</v>
      </c>
      <c r="AK26" s="65">
        <v>0</v>
      </c>
      <c r="AL26" s="65">
        <v>0</v>
      </c>
      <c r="AM26" s="65"/>
      <c r="AN26" s="65">
        <f t="shared" si="13"/>
        <v>0</v>
      </c>
      <c r="AO26" s="65">
        <f t="shared" si="14"/>
        <v>0</v>
      </c>
      <c r="AP26" s="65" t="e">
        <f t="shared" si="15"/>
        <v>#DIV/0!</v>
      </c>
    </row>
    <row r="27" spans="1:42" s="57" customFormat="1">
      <c r="A27" s="86" t="s">
        <v>162</v>
      </c>
      <c r="B27" s="158" t="s">
        <v>210</v>
      </c>
      <c r="C27" s="161" t="s">
        <v>335</v>
      </c>
      <c r="D27" s="10"/>
      <c r="E27" s="65">
        <v>9</v>
      </c>
      <c r="F27" s="65">
        <f t="shared" si="1"/>
        <v>8829.9</v>
      </c>
      <c r="G27" s="65">
        <v>304.14</v>
      </c>
      <c r="H27" s="65">
        <v>0</v>
      </c>
      <c r="I27" s="65">
        <v>12.29</v>
      </c>
      <c r="J27" s="65">
        <v>8513.4699999999993</v>
      </c>
      <c r="K27" s="65">
        <v>0</v>
      </c>
      <c r="L27" s="65">
        <v>0</v>
      </c>
      <c r="M27" s="65">
        <f t="shared" si="2"/>
        <v>0</v>
      </c>
      <c r="N27" s="65">
        <v>0</v>
      </c>
      <c r="O27" s="65">
        <v>0</v>
      </c>
      <c r="P27" s="65">
        <v>0</v>
      </c>
      <c r="Q27" s="65">
        <v>0</v>
      </c>
      <c r="R27" s="65">
        <v>0</v>
      </c>
      <c r="S27" s="65">
        <v>0</v>
      </c>
      <c r="T27" s="65">
        <f t="shared" si="3"/>
        <v>0</v>
      </c>
      <c r="U27" s="65">
        <v>0</v>
      </c>
      <c r="V27" s="65">
        <v>0</v>
      </c>
      <c r="W27" s="65">
        <v>0</v>
      </c>
      <c r="X27" s="65">
        <v>0</v>
      </c>
      <c r="Y27" s="65">
        <v>0</v>
      </c>
      <c r="Z27" s="65">
        <f t="shared" si="4"/>
        <v>9</v>
      </c>
      <c r="AA27" s="65">
        <f t="shared" si="5"/>
        <v>8829.9</v>
      </c>
      <c r="AB27" s="65">
        <f t="shared" si="6"/>
        <v>304.14</v>
      </c>
      <c r="AC27" s="65">
        <f t="shared" si="7"/>
        <v>0</v>
      </c>
      <c r="AD27" s="65">
        <f t="shared" si="8"/>
        <v>12.29</v>
      </c>
      <c r="AE27" s="65">
        <f t="shared" si="9"/>
        <v>8513.4699999999993</v>
      </c>
      <c r="AF27" s="65">
        <f t="shared" si="10"/>
        <v>0</v>
      </c>
      <c r="AG27" s="65">
        <f t="shared" si="11"/>
        <v>9</v>
      </c>
      <c r="AH27" s="65">
        <f t="shared" si="12"/>
        <v>8829.9</v>
      </c>
      <c r="AI27" s="65">
        <v>0</v>
      </c>
      <c r="AJ27" s="65">
        <v>0</v>
      </c>
      <c r="AK27" s="65">
        <v>0</v>
      </c>
      <c r="AL27" s="65">
        <v>0</v>
      </c>
      <c r="AM27" s="65"/>
      <c r="AN27" s="65">
        <f t="shared" si="13"/>
        <v>9</v>
      </c>
      <c r="AO27" s="65">
        <f t="shared" si="14"/>
        <v>8829.9</v>
      </c>
      <c r="AP27" s="65">
        <f t="shared" si="15"/>
        <v>981.09999999999991</v>
      </c>
    </row>
    <row r="28" spans="1:42" s="57" customFormat="1">
      <c r="A28" s="86" t="s">
        <v>59</v>
      </c>
      <c r="B28" s="158" t="s">
        <v>212</v>
      </c>
      <c r="C28" s="161" t="s">
        <v>335</v>
      </c>
      <c r="D28" s="10"/>
      <c r="E28" s="65">
        <v>143</v>
      </c>
      <c r="F28" s="65">
        <f t="shared" si="1"/>
        <v>16996.190000000002</v>
      </c>
      <c r="G28" s="65">
        <v>5730.47</v>
      </c>
      <c r="H28" s="65">
        <v>0</v>
      </c>
      <c r="I28" s="65">
        <v>217.41</v>
      </c>
      <c r="J28" s="65">
        <v>10980.560000000001</v>
      </c>
      <c r="K28" s="65">
        <v>67.75</v>
      </c>
      <c r="L28" s="65">
        <v>0</v>
      </c>
      <c r="M28" s="65">
        <f t="shared" si="2"/>
        <v>0</v>
      </c>
      <c r="N28" s="65">
        <v>0</v>
      </c>
      <c r="O28" s="65">
        <v>0</v>
      </c>
      <c r="P28" s="65">
        <v>0</v>
      </c>
      <c r="Q28" s="65">
        <v>0</v>
      </c>
      <c r="R28" s="65">
        <v>0</v>
      </c>
      <c r="S28" s="65">
        <v>6</v>
      </c>
      <c r="T28" s="65">
        <f t="shared" si="3"/>
        <v>471.25</v>
      </c>
      <c r="U28" s="65">
        <v>224.07999999999998</v>
      </c>
      <c r="V28" s="65">
        <v>86.36</v>
      </c>
      <c r="W28" s="65">
        <v>51.410000000000004</v>
      </c>
      <c r="X28" s="65">
        <v>0</v>
      </c>
      <c r="Y28" s="65">
        <v>109.4</v>
      </c>
      <c r="Z28" s="65">
        <f t="shared" si="4"/>
        <v>149</v>
      </c>
      <c r="AA28" s="65">
        <f t="shared" si="5"/>
        <v>17467.440000000002</v>
      </c>
      <c r="AB28" s="65">
        <f t="shared" si="6"/>
        <v>5954.55</v>
      </c>
      <c r="AC28" s="65">
        <f t="shared" si="7"/>
        <v>86.36</v>
      </c>
      <c r="AD28" s="65">
        <f t="shared" si="8"/>
        <v>268.82</v>
      </c>
      <c r="AE28" s="65">
        <f t="shared" si="9"/>
        <v>10980.560000000001</v>
      </c>
      <c r="AF28" s="65">
        <f t="shared" si="10"/>
        <v>177.15</v>
      </c>
      <c r="AG28" s="65">
        <f t="shared" si="11"/>
        <v>149</v>
      </c>
      <c r="AH28" s="65">
        <f t="shared" si="12"/>
        <v>17467.440000000002</v>
      </c>
      <c r="AI28" s="65">
        <v>0</v>
      </c>
      <c r="AJ28" s="65">
        <v>0</v>
      </c>
      <c r="AK28" s="65">
        <v>0</v>
      </c>
      <c r="AL28" s="65">
        <v>0</v>
      </c>
      <c r="AM28" s="65"/>
      <c r="AN28" s="65">
        <f t="shared" si="13"/>
        <v>149</v>
      </c>
      <c r="AO28" s="65">
        <f t="shared" si="14"/>
        <v>17467.440000000002</v>
      </c>
      <c r="AP28" s="65">
        <f t="shared" si="15"/>
        <v>117.23114093959732</v>
      </c>
    </row>
    <row r="29" spans="1:42" s="57" customFormat="1">
      <c r="A29" s="86" t="s">
        <v>60</v>
      </c>
      <c r="B29" s="158" t="s">
        <v>211</v>
      </c>
      <c r="C29" s="161" t="s">
        <v>335</v>
      </c>
      <c r="D29" s="10"/>
      <c r="E29" s="65">
        <v>171</v>
      </c>
      <c r="F29" s="65">
        <f t="shared" si="1"/>
        <v>50044.799999999996</v>
      </c>
      <c r="G29" s="65">
        <v>6370.3600000000006</v>
      </c>
      <c r="H29" s="65">
        <v>63.89</v>
      </c>
      <c r="I29" s="65">
        <v>621.86</v>
      </c>
      <c r="J29" s="65">
        <v>42854.17</v>
      </c>
      <c r="K29" s="65">
        <v>134.51999999999998</v>
      </c>
      <c r="L29" s="65">
        <v>0</v>
      </c>
      <c r="M29" s="65">
        <f t="shared" si="2"/>
        <v>0</v>
      </c>
      <c r="N29" s="65">
        <v>0</v>
      </c>
      <c r="O29" s="65">
        <v>0</v>
      </c>
      <c r="P29" s="65">
        <v>0</v>
      </c>
      <c r="Q29" s="65">
        <v>0</v>
      </c>
      <c r="R29" s="65">
        <v>0</v>
      </c>
      <c r="S29" s="65">
        <v>85</v>
      </c>
      <c r="T29" s="65">
        <f t="shared" si="3"/>
        <v>53889.109999999993</v>
      </c>
      <c r="U29" s="65">
        <v>7041.05</v>
      </c>
      <c r="V29" s="65">
        <v>3345.36</v>
      </c>
      <c r="W29" s="65">
        <v>5004.1100000000006</v>
      </c>
      <c r="X29" s="65">
        <v>34115.769999999997</v>
      </c>
      <c r="Y29" s="65">
        <v>4382.82</v>
      </c>
      <c r="Z29" s="65">
        <f t="shared" si="4"/>
        <v>256</v>
      </c>
      <c r="AA29" s="65">
        <f t="shared" si="5"/>
        <v>103933.90999999999</v>
      </c>
      <c r="AB29" s="65">
        <f t="shared" si="6"/>
        <v>13411.41</v>
      </c>
      <c r="AC29" s="65">
        <f t="shared" si="7"/>
        <v>3409.25</v>
      </c>
      <c r="AD29" s="65">
        <f t="shared" si="8"/>
        <v>5625.97</v>
      </c>
      <c r="AE29" s="65">
        <f t="shared" si="9"/>
        <v>76969.94</v>
      </c>
      <c r="AF29" s="65">
        <f t="shared" si="10"/>
        <v>4517.34</v>
      </c>
      <c r="AG29" s="65">
        <f t="shared" si="11"/>
        <v>256</v>
      </c>
      <c r="AH29" s="65">
        <f t="shared" si="12"/>
        <v>103933.90999999999</v>
      </c>
      <c r="AI29" s="65">
        <v>0</v>
      </c>
      <c r="AJ29" s="65">
        <v>0</v>
      </c>
      <c r="AK29" s="65">
        <v>0</v>
      </c>
      <c r="AL29" s="65">
        <v>0</v>
      </c>
      <c r="AM29" s="65"/>
      <c r="AN29" s="65">
        <f t="shared" si="13"/>
        <v>256</v>
      </c>
      <c r="AO29" s="65">
        <f t="shared" si="14"/>
        <v>103933.90999999999</v>
      </c>
      <c r="AP29" s="65">
        <f t="shared" si="15"/>
        <v>405.99183593749996</v>
      </c>
    </row>
    <row r="30" spans="1:42" s="57" customFormat="1">
      <c r="A30" s="86" t="s">
        <v>154</v>
      </c>
      <c r="B30" s="158" t="s">
        <v>210</v>
      </c>
      <c r="C30" s="161" t="s">
        <v>336</v>
      </c>
      <c r="D30" s="159" t="s">
        <v>174</v>
      </c>
      <c r="E30" s="65">
        <v>136</v>
      </c>
      <c r="F30" s="65">
        <f t="shared" si="1"/>
        <v>15066.92</v>
      </c>
      <c r="G30" s="65">
        <v>4217.4400000000005</v>
      </c>
      <c r="H30" s="65">
        <v>203.36</v>
      </c>
      <c r="I30" s="65">
        <v>123.93</v>
      </c>
      <c r="J30" s="65">
        <v>10340.66</v>
      </c>
      <c r="K30" s="65">
        <v>181.53</v>
      </c>
      <c r="L30" s="65">
        <v>0</v>
      </c>
      <c r="M30" s="65">
        <f t="shared" si="2"/>
        <v>0</v>
      </c>
      <c r="N30" s="65">
        <v>0</v>
      </c>
      <c r="O30" s="65">
        <v>0</v>
      </c>
      <c r="P30" s="65">
        <v>0</v>
      </c>
      <c r="Q30" s="65">
        <v>0</v>
      </c>
      <c r="R30" s="65">
        <v>0</v>
      </c>
      <c r="S30" s="65">
        <v>10</v>
      </c>
      <c r="T30" s="65">
        <f t="shared" si="3"/>
        <v>1229.24</v>
      </c>
      <c r="U30" s="65">
        <v>381.93</v>
      </c>
      <c r="V30" s="65">
        <v>456.89</v>
      </c>
      <c r="W30" s="65">
        <v>143.21</v>
      </c>
      <c r="X30" s="65">
        <v>0</v>
      </c>
      <c r="Y30" s="65">
        <v>247.21</v>
      </c>
      <c r="Z30" s="65">
        <f t="shared" si="4"/>
        <v>146</v>
      </c>
      <c r="AA30" s="65">
        <f t="shared" si="5"/>
        <v>16296.16</v>
      </c>
      <c r="AB30" s="65">
        <f t="shared" si="6"/>
        <v>4599.3700000000008</v>
      </c>
      <c r="AC30" s="65">
        <f t="shared" si="7"/>
        <v>660.25</v>
      </c>
      <c r="AD30" s="65">
        <f t="shared" si="8"/>
        <v>267.14</v>
      </c>
      <c r="AE30" s="65">
        <f t="shared" si="9"/>
        <v>10340.66</v>
      </c>
      <c r="AF30" s="65">
        <f t="shared" si="10"/>
        <v>428.74</v>
      </c>
      <c r="AG30" s="65">
        <f t="shared" si="11"/>
        <v>146</v>
      </c>
      <c r="AH30" s="65">
        <f t="shared" si="12"/>
        <v>16296.16</v>
      </c>
      <c r="AI30" s="65">
        <v>0</v>
      </c>
      <c r="AJ30" s="65">
        <v>0</v>
      </c>
      <c r="AK30" s="65">
        <v>0</v>
      </c>
      <c r="AL30" s="65">
        <v>0</v>
      </c>
      <c r="AM30" s="65"/>
      <c r="AN30" s="65">
        <f t="shared" si="13"/>
        <v>146</v>
      </c>
      <c r="AO30" s="65">
        <f t="shared" si="14"/>
        <v>16296.16</v>
      </c>
      <c r="AP30" s="65">
        <f t="shared" si="15"/>
        <v>111.61753424657535</v>
      </c>
    </row>
    <row r="31" spans="1:42" s="57" customFormat="1">
      <c r="A31" s="86" t="s">
        <v>214</v>
      </c>
      <c r="B31" s="158" t="s">
        <v>209</v>
      </c>
      <c r="C31" s="161" t="s">
        <v>335</v>
      </c>
      <c r="D31" s="10"/>
      <c r="E31" s="65">
        <v>5</v>
      </c>
      <c r="F31" s="65">
        <f t="shared" si="1"/>
        <v>279.01</v>
      </c>
      <c r="G31" s="65">
        <v>262.82</v>
      </c>
      <c r="H31" s="65">
        <v>0</v>
      </c>
      <c r="I31" s="65">
        <v>6.74</v>
      </c>
      <c r="J31" s="65">
        <v>0</v>
      </c>
      <c r="K31" s="65">
        <v>9.4499999999999993</v>
      </c>
      <c r="L31" s="65">
        <v>0</v>
      </c>
      <c r="M31" s="65">
        <f t="shared" si="2"/>
        <v>0</v>
      </c>
      <c r="N31" s="65">
        <v>0</v>
      </c>
      <c r="O31" s="65">
        <v>0</v>
      </c>
      <c r="P31" s="65">
        <v>0</v>
      </c>
      <c r="Q31" s="65">
        <v>0</v>
      </c>
      <c r="R31" s="65">
        <v>0</v>
      </c>
      <c r="S31" s="65">
        <v>6</v>
      </c>
      <c r="T31" s="65">
        <f t="shared" si="3"/>
        <v>1028.9100000000001</v>
      </c>
      <c r="U31" s="65">
        <v>173.78000000000003</v>
      </c>
      <c r="V31" s="65">
        <v>0</v>
      </c>
      <c r="W31" s="65">
        <v>17.82</v>
      </c>
      <c r="X31" s="65">
        <v>495.81</v>
      </c>
      <c r="Y31" s="65">
        <v>341.5</v>
      </c>
      <c r="Z31" s="65">
        <f t="shared" si="4"/>
        <v>11</v>
      </c>
      <c r="AA31" s="65">
        <f t="shared" si="5"/>
        <v>1307.92</v>
      </c>
      <c r="AB31" s="65">
        <f t="shared" si="6"/>
        <v>436.6</v>
      </c>
      <c r="AC31" s="65">
        <f t="shared" si="7"/>
        <v>0</v>
      </c>
      <c r="AD31" s="65">
        <f t="shared" si="8"/>
        <v>24.560000000000002</v>
      </c>
      <c r="AE31" s="65">
        <f t="shared" si="9"/>
        <v>495.81</v>
      </c>
      <c r="AF31" s="65">
        <f t="shared" si="10"/>
        <v>350.95</v>
      </c>
      <c r="AG31" s="65">
        <f t="shared" si="11"/>
        <v>11</v>
      </c>
      <c r="AH31" s="65">
        <f t="shared" si="12"/>
        <v>1307.92</v>
      </c>
      <c r="AI31" s="65">
        <v>0</v>
      </c>
      <c r="AJ31" s="65">
        <v>0</v>
      </c>
      <c r="AK31" s="65">
        <v>0</v>
      </c>
      <c r="AL31" s="65">
        <v>0</v>
      </c>
      <c r="AM31" s="65"/>
      <c r="AN31" s="65">
        <f t="shared" si="13"/>
        <v>11</v>
      </c>
      <c r="AO31" s="65">
        <f t="shared" si="14"/>
        <v>1307.92</v>
      </c>
      <c r="AP31" s="65">
        <f t="shared" si="15"/>
        <v>118.90181818181819</v>
      </c>
    </row>
    <row r="32" spans="1:42" s="57" customFormat="1">
      <c r="A32" s="86" t="s">
        <v>163</v>
      </c>
      <c r="B32" s="158" t="s">
        <v>211</v>
      </c>
      <c r="C32" s="161" t="s">
        <v>336</v>
      </c>
      <c r="D32" s="10"/>
      <c r="E32" s="65">
        <v>874</v>
      </c>
      <c r="F32" s="65">
        <f t="shared" si="1"/>
        <v>237080.45</v>
      </c>
      <c r="G32" s="65">
        <v>50951.65</v>
      </c>
      <c r="H32" s="65">
        <v>2088.81</v>
      </c>
      <c r="I32" s="65">
        <v>4188.3500000000004</v>
      </c>
      <c r="J32" s="65">
        <v>158756.03</v>
      </c>
      <c r="K32" s="65">
        <v>21095.61</v>
      </c>
      <c r="L32" s="65">
        <v>3</v>
      </c>
      <c r="M32" s="65">
        <f t="shared" si="2"/>
        <v>5202.3599999999997</v>
      </c>
      <c r="N32" s="65">
        <v>80.73</v>
      </c>
      <c r="O32" s="65">
        <v>0</v>
      </c>
      <c r="P32" s="65">
        <v>0</v>
      </c>
      <c r="Q32" s="65">
        <v>5121.63</v>
      </c>
      <c r="R32" s="65">
        <v>0</v>
      </c>
      <c r="S32" s="65">
        <v>559</v>
      </c>
      <c r="T32" s="65">
        <f t="shared" si="3"/>
        <v>169690.74</v>
      </c>
      <c r="U32" s="65">
        <v>37972.450000000004</v>
      </c>
      <c r="V32" s="65">
        <v>9785.44</v>
      </c>
      <c r="W32" s="65">
        <v>39221.17</v>
      </c>
      <c r="X32" s="65">
        <v>49859.63</v>
      </c>
      <c r="Y32" s="65">
        <v>32852.049999999996</v>
      </c>
      <c r="Z32" s="65">
        <f t="shared" si="4"/>
        <v>1436</v>
      </c>
      <c r="AA32" s="65">
        <f t="shared" si="5"/>
        <v>411973.55</v>
      </c>
      <c r="AB32" s="65">
        <f t="shared" si="6"/>
        <v>89004.830000000016</v>
      </c>
      <c r="AC32" s="65">
        <f t="shared" si="7"/>
        <v>11874.25</v>
      </c>
      <c r="AD32" s="65">
        <f t="shared" si="8"/>
        <v>43409.52</v>
      </c>
      <c r="AE32" s="65">
        <f t="shared" si="9"/>
        <v>213737.29</v>
      </c>
      <c r="AF32" s="65">
        <f t="shared" si="10"/>
        <v>53947.659999999996</v>
      </c>
      <c r="AG32" s="65">
        <f t="shared" si="11"/>
        <v>1436</v>
      </c>
      <c r="AH32" s="65">
        <f t="shared" si="12"/>
        <v>411973.55</v>
      </c>
      <c r="AI32" s="65">
        <v>0</v>
      </c>
      <c r="AJ32" s="65">
        <v>0</v>
      </c>
      <c r="AK32" s="65">
        <v>0</v>
      </c>
      <c r="AL32" s="65">
        <v>0</v>
      </c>
      <c r="AM32" s="65"/>
      <c r="AN32" s="65">
        <f t="shared" si="13"/>
        <v>1436</v>
      </c>
      <c r="AO32" s="65">
        <f t="shared" si="14"/>
        <v>411973.55</v>
      </c>
      <c r="AP32" s="65">
        <f t="shared" si="15"/>
        <v>286.88965877437323</v>
      </c>
    </row>
    <row r="33" spans="1:43" s="57" customFormat="1">
      <c r="A33" s="86" t="s">
        <v>218</v>
      </c>
      <c r="B33" s="158" t="s">
        <v>212</v>
      </c>
      <c r="C33" s="161" t="s">
        <v>335</v>
      </c>
      <c r="D33" s="10"/>
      <c r="E33" s="65">
        <v>2</v>
      </c>
      <c r="F33" s="65">
        <f t="shared" si="1"/>
        <v>397.40999999999997</v>
      </c>
      <c r="G33" s="65">
        <v>236.76</v>
      </c>
      <c r="H33" s="65">
        <v>0</v>
      </c>
      <c r="I33" s="65">
        <v>80.5</v>
      </c>
      <c r="J33" s="65">
        <v>0</v>
      </c>
      <c r="K33" s="65">
        <v>80.150000000000006</v>
      </c>
      <c r="L33" s="65">
        <v>0</v>
      </c>
      <c r="M33" s="65">
        <f t="shared" si="2"/>
        <v>0</v>
      </c>
      <c r="N33" s="65">
        <v>0</v>
      </c>
      <c r="O33" s="65">
        <v>0</v>
      </c>
      <c r="P33" s="65">
        <v>0</v>
      </c>
      <c r="Q33" s="65">
        <v>0</v>
      </c>
      <c r="R33" s="65">
        <v>0</v>
      </c>
      <c r="S33" s="65">
        <v>0</v>
      </c>
      <c r="T33" s="65">
        <f t="shared" si="3"/>
        <v>0</v>
      </c>
      <c r="U33" s="65">
        <v>0</v>
      </c>
      <c r="V33" s="65">
        <v>0</v>
      </c>
      <c r="W33" s="65">
        <v>0</v>
      </c>
      <c r="X33" s="65">
        <v>0</v>
      </c>
      <c r="Y33" s="65">
        <v>0</v>
      </c>
      <c r="Z33" s="65">
        <f t="shared" si="4"/>
        <v>2</v>
      </c>
      <c r="AA33" s="65">
        <f t="shared" si="5"/>
        <v>397.40999999999997</v>
      </c>
      <c r="AB33" s="65">
        <f t="shared" si="6"/>
        <v>236.76</v>
      </c>
      <c r="AC33" s="65">
        <f t="shared" si="7"/>
        <v>0</v>
      </c>
      <c r="AD33" s="65">
        <f t="shared" si="8"/>
        <v>80.5</v>
      </c>
      <c r="AE33" s="65">
        <f t="shared" si="9"/>
        <v>0</v>
      </c>
      <c r="AF33" s="65">
        <f t="shared" si="10"/>
        <v>80.150000000000006</v>
      </c>
      <c r="AG33" s="65">
        <f t="shared" si="11"/>
        <v>2</v>
      </c>
      <c r="AH33" s="65">
        <f t="shared" si="12"/>
        <v>397.40999999999997</v>
      </c>
      <c r="AI33" s="65">
        <v>0</v>
      </c>
      <c r="AJ33" s="65">
        <v>0</v>
      </c>
      <c r="AK33" s="65">
        <v>0</v>
      </c>
      <c r="AL33" s="65">
        <v>0</v>
      </c>
      <c r="AM33" s="65"/>
      <c r="AN33" s="65">
        <f t="shared" si="13"/>
        <v>2</v>
      </c>
      <c r="AO33" s="65">
        <f t="shared" si="14"/>
        <v>397.40999999999997</v>
      </c>
      <c r="AP33" s="65">
        <f t="shared" si="15"/>
        <v>198.70499999999998</v>
      </c>
    </row>
    <row r="34" spans="1:43" s="57" customFormat="1">
      <c r="A34" s="86" t="s">
        <v>164</v>
      </c>
      <c r="B34" s="158" t="s">
        <v>209</v>
      </c>
      <c r="C34" s="161" t="s">
        <v>335</v>
      </c>
      <c r="D34" s="10"/>
      <c r="E34" s="65">
        <v>222</v>
      </c>
      <c r="F34" s="65">
        <f t="shared" si="1"/>
        <v>49359.09</v>
      </c>
      <c r="G34" s="65">
        <v>4341.91</v>
      </c>
      <c r="H34" s="65">
        <v>192.31</v>
      </c>
      <c r="I34" s="65">
        <v>473.31</v>
      </c>
      <c r="J34" s="65">
        <v>43303.92</v>
      </c>
      <c r="K34" s="65">
        <v>1047.6399999999999</v>
      </c>
      <c r="L34" s="65">
        <v>7</v>
      </c>
      <c r="M34" s="65">
        <f t="shared" si="2"/>
        <v>21460.81</v>
      </c>
      <c r="N34" s="65">
        <v>0</v>
      </c>
      <c r="O34" s="65">
        <v>0</v>
      </c>
      <c r="P34" s="65">
        <v>0</v>
      </c>
      <c r="Q34" s="65">
        <v>21460.81</v>
      </c>
      <c r="R34" s="65">
        <v>0</v>
      </c>
      <c r="S34" s="65">
        <v>149</v>
      </c>
      <c r="T34" s="65">
        <f t="shared" si="3"/>
        <v>34932.370000000003</v>
      </c>
      <c r="U34" s="65">
        <v>7266.35</v>
      </c>
      <c r="V34" s="65">
        <v>674.86</v>
      </c>
      <c r="W34" s="65">
        <v>5426.6900000000005</v>
      </c>
      <c r="X34" s="65">
        <v>15842.44</v>
      </c>
      <c r="Y34" s="65">
        <v>5722.03</v>
      </c>
      <c r="Z34" s="65">
        <f t="shared" si="4"/>
        <v>378</v>
      </c>
      <c r="AA34" s="65">
        <f t="shared" si="5"/>
        <v>105752.26999999999</v>
      </c>
      <c r="AB34" s="65">
        <f t="shared" si="6"/>
        <v>11608.26</v>
      </c>
      <c r="AC34" s="65">
        <f t="shared" si="7"/>
        <v>867.17000000000007</v>
      </c>
      <c r="AD34" s="65">
        <f t="shared" si="8"/>
        <v>5900.0000000000009</v>
      </c>
      <c r="AE34" s="65">
        <f t="shared" si="9"/>
        <v>80607.17</v>
      </c>
      <c r="AF34" s="65">
        <f t="shared" si="10"/>
        <v>6769.67</v>
      </c>
      <c r="AG34" s="65">
        <f t="shared" si="11"/>
        <v>378</v>
      </c>
      <c r="AH34" s="65">
        <f t="shared" si="12"/>
        <v>105752.26999999999</v>
      </c>
      <c r="AI34" s="65">
        <v>0</v>
      </c>
      <c r="AJ34" s="65">
        <v>0</v>
      </c>
      <c r="AK34" s="65">
        <v>0</v>
      </c>
      <c r="AL34" s="65">
        <v>0</v>
      </c>
      <c r="AM34" s="65"/>
      <c r="AN34" s="65">
        <f t="shared" si="13"/>
        <v>378</v>
      </c>
      <c r="AO34" s="65">
        <f t="shared" si="14"/>
        <v>105752.26999999999</v>
      </c>
      <c r="AP34" s="65">
        <f t="shared" si="15"/>
        <v>279.76791005291</v>
      </c>
    </row>
    <row r="35" spans="1:43" s="57" customFormat="1">
      <c r="A35" s="86" t="s">
        <v>61</v>
      </c>
      <c r="B35" s="158" t="s">
        <v>209</v>
      </c>
      <c r="C35" s="161" t="s">
        <v>335</v>
      </c>
      <c r="D35" s="10"/>
      <c r="E35" s="65">
        <v>0</v>
      </c>
      <c r="F35" s="65">
        <f t="shared" si="1"/>
        <v>0</v>
      </c>
      <c r="G35" s="65">
        <v>0</v>
      </c>
      <c r="H35" s="65">
        <v>0</v>
      </c>
      <c r="I35" s="65">
        <v>0</v>
      </c>
      <c r="J35" s="65">
        <v>0</v>
      </c>
      <c r="K35" s="65">
        <v>0</v>
      </c>
      <c r="L35" s="65">
        <v>0</v>
      </c>
      <c r="M35" s="65">
        <f t="shared" si="2"/>
        <v>0</v>
      </c>
      <c r="N35" s="65">
        <v>0</v>
      </c>
      <c r="O35" s="65">
        <v>0</v>
      </c>
      <c r="P35" s="65">
        <v>0</v>
      </c>
      <c r="Q35" s="65">
        <v>0</v>
      </c>
      <c r="R35" s="65">
        <v>0</v>
      </c>
      <c r="S35" s="65">
        <v>3</v>
      </c>
      <c r="T35" s="65">
        <f t="shared" si="3"/>
        <v>123.44999999999999</v>
      </c>
      <c r="U35" s="65">
        <v>67.72</v>
      </c>
      <c r="V35" s="65">
        <v>0</v>
      </c>
      <c r="W35" s="65">
        <v>31.13</v>
      </c>
      <c r="X35" s="65">
        <v>0</v>
      </c>
      <c r="Y35" s="65">
        <v>24.6</v>
      </c>
      <c r="Z35" s="65">
        <f t="shared" si="4"/>
        <v>3</v>
      </c>
      <c r="AA35" s="65">
        <f t="shared" si="5"/>
        <v>123.44999999999999</v>
      </c>
      <c r="AB35" s="65">
        <f t="shared" si="6"/>
        <v>67.72</v>
      </c>
      <c r="AC35" s="65">
        <f t="shared" si="7"/>
        <v>0</v>
      </c>
      <c r="AD35" s="65">
        <f t="shared" si="8"/>
        <v>31.13</v>
      </c>
      <c r="AE35" s="65">
        <f t="shared" si="9"/>
        <v>0</v>
      </c>
      <c r="AF35" s="65">
        <f t="shared" si="10"/>
        <v>24.6</v>
      </c>
      <c r="AG35" s="65">
        <f t="shared" si="11"/>
        <v>3</v>
      </c>
      <c r="AH35" s="65">
        <f t="shared" si="12"/>
        <v>123.44999999999999</v>
      </c>
      <c r="AI35" s="65">
        <v>0</v>
      </c>
      <c r="AJ35" s="65">
        <v>0</v>
      </c>
      <c r="AK35" s="65">
        <v>0</v>
      </c>
      <c r="AL35" s="65">
        <v>0</v>
      </c>
      <c r="AM35" s="65"/>
      <c r="AN35" s="65">
        <f t="shared" si="13"/>
        <v>3</v>
      </c>
      <c r="AO35" s="65">
        <f t="shared" si="14"/>
        <v>123.44999999999999</v>
      </c>
      <c r="AP35" s="65">
        <f t="shared" si="15"/>
        <v>41.15</v>
      </c>
    </row>
    <row r="36" spans="1:43" s="57" customFormat="1">
      <c r="A36" s="86" t="s">
        <v>62</v>
      </c>
      <c r="B36" s="158" t="s">
        <v>212</v>
      </c>
      <c r="C36" s="161" t="s">
        <v>335</v>
      </c>
      <c r="D36" s="10"/>
      <c r="E36" s="65">
        <v>761</v>
      </c>
      <c r="F36" s="65">
        <f t="shared" si="1"/>
        <v>232370.40000000002</v>
      </c>
      <c r="G36" s="65">
        <v>27950.890000000003</v>
      </c>
      <c r="H36" s="65">
        <v>541.62</v>
      </c>
      <c r="I36" s="65">
        <v>1492.79</v>
      </c>
      <c r="J36" s="65">
        <v>200347.84</v>
      </c>
      <c r="K36" s="65">
        <v>2037.26</v>
      </c>
      <c r="L36" s="65">
        <v>3</v>
      </c>
      <c r="M36" s="65">
        <f t="shared" si="2"/>
        <v>1588.45</v>
      </c>
      <c r="N36" s="65">
        <v>31.47</v>
      </c>
      <c r="O36" s="65">
        <v>0</v>
      </c>
      <c r="P36" s="65">
        <v>5.17</v>
      </c>
      <c r="Q36" s="65">
        <v>1551.81</v>
      </c>
      <c r="R36" s="65">
        <v>0</v>
      </c>
      <c r="S36" s="65">
        <v>122</v>
      </c>
      <c r="T36" s="65">
        <f t="shared" si="3"/>
        <v>21240.600000000002</v>
      </c>
      <c r="U36" s="65">
        <v>6329.32</v>
      </c>
      <c r="V36" s="65">
        <v>2832.26</v>
      </c>
      <c r="W36" s="65">
        <v>5319.99</v>
      </c>
      <c r="X36" s="65">
        <v>3062.81</v>
      </c>
      <c r="Y36" s="65">
        <v>3696.2200000000003</v>
      </c>
      <c r="Z36" s="65">
        <f t="shared" si="4"/>
        <v>886</v>
      </c>
      <c r="AA36" s="65">
        <f t="shared" si="5"/>
        <v>255199.45000000004</v>
      </c>
      <c r="AB36" s="65">
        <f t="shared" si="6"/>
        <v>34311.680000000008</v>
      </c>
      <c r="AC36" s="65">
        <f t="shared" si="7"/>
        <v>3373.88</v>
      </c>
      <c r="AD36" s="65">
        <f t="shared" si="8"/>
        <v>6817.95</v>
      </c>
      <c r="AE36" s="65">
        <f t="shared" si="9"/>
        <v>204962.46</v>
      </c>
      <c r="AF36" s="65">
        <f t="shared" si="10"/>
        <v>5733.4800000000005</v>
      </c>
      <c r="AG36" s="65">
        <f t="shared" si="11"/>
        <v>886</v>
      </c>
      <c r="AH36" s="65">
        <f t="shared" si="12"/>
        <v>255199.45000000004</v>
      </c>
      <c r="AI36" s="65">
        <v>0</v>
      </c>
      <c r="AJ36" s="65">
        <v>0</v>
      </c>
      <c r="AK36" s="65">
        <v>0</v>
      </c>
      <c r="AL36" s="65">
        <v>0</v>
      </c>
      <c r="AM36" s="65"/>
      <c r="AN36" s="65">
        <f t="shared" si="13"/>
        <v>886</v>
      </c>
      <c r="AO36" s="65">
        <f t="shared" si="14"/>
        <v>255199.45000000004</v>
      </c>
      <c r="AP36" s="65">
        <f t="shared" si="15"/>
        <v>288.03549661399552</v>
      </c>
    </row>
    <row r="37" spans="1:43" s="57" customFormat="1">
      <c r="A37" s="86" t="s">
        <v>63</v>
      </c>
      <c r="B37" s="158" t="s">
        <v>209</v>
      </c>
      <c r="C37" s="161" t="s">
        <v>336</v>
      </c>
      <c r="D37" s="159" t="s">
        <v>174</v>
      </c>
      <c r="E37" s="65">
        <v>259</v>
      </c>
      <c r="F37" s="65">
        <f t="shared" si="1"/>
        <v>61066.520000000004</v>
      </c>
      <c r="G37" s="65">
        <v>6951.25</v>
      </c>
      <c r="H37" s="65">
        <v>85.58</v>
      </c>
      <c r="I37" s="65">
        <v>1284.5</v>
      </c>
      <c r="J37" s="65">
        <v>52377.72</v>
      </c>
      <c r="K37" s="65">
        <v>367.47</v>
      </c>
      <c r="L37" s="65">
        <v>22</v>
      </c>
      <c r="M37" s="65">
        <f t="shared" si="2"/>
        <v>35683.259999999995</v>
      </c>
      <c r="N37" s="65">
        <v>3.52</v>
      </c>
      <c r="O37" s="65">
        <v>0</v>
      </c>
      <c r="P37" s="65">
        <v>0</v>
      </c>
      <c r="Q37" s="65">
        <v>35679.74</v>
      </c>
      <c r="R37" s="65">
        <v>0</v>
      </c>
      <c r="S37" s="65">
        <v>197</v>
      </c>
      <c r="T37" s="65">
        <f t="shared" si="3"/>
        <v>38470.46</v>
      </c>
      <c r="U37" s="65">
        <v>10619.9</v>
      </c>
      <c r="V37" s="65">
        <v>2281.84</v>
      </c>
      <c r="W37" s="65">
        <v>8167.47</v>
      </c>
      <c r="X37" s="65">
        <v>7827.09</v>
      </c>
      <c r="Y37" s="65">
        <v>9574.16</v>
      </c>
      <c r="Z37" s="65">
        <f t="shared" si="4"/>
        <v>478</v>
      </c>
      <c r="AA37" s="65">
        <f t="shared" si="5"/>
        <v>135220.24</v>
      </c>
      <c r="AB37" s="65">
        <f t="shared" si="6"/>
        <v>17574.669999999998</v>
      </c>
      <c r="AC37" s="65">
        <f t="shared" si="7"/>
        <v>2367.42</v>
      </c>
      <c r="AD37" s="65">
        <f t="shared" si="8"/>
        <v>9451.9700000000012</v>
      </c>
      <c r="AE37" s="65">
        <f t="shared" si="9"/>
        <v>95884.549999999988</v>
      </c>
      <c r="AF37" s="65">
        <f t="shared" si="10"/>
        <v>9941.6299999999992</v>
      </c>
      <c r="AG37" s="65">
        <f t="shared" si="11"/>
        <v>478</v>
      </c>
      <c r="AH37" s="65">
        <f t="shared" si="12"/>
        <v>135220.24</v>
      </c>
      <c r="AI37" s="65">
        <v>0</v>
      </c>
      <c r="AJ37" s="65">
        <v>0</v>
      </c>
      <c r="AK37" s="65">
        <v>0</v>
      </c>
      <c r="AL37" s="65">
        <v>0</v>
      </c>
      <c r="AM37" s="65"/>
      <c r="AN37" s="65">
        <f t="shared" si="13"/>
        <v>478</v>
      </c>
      <c r="AO37" s="65">
        <f t="shared" si="14"/>
        <v>135220.24</v>
      </c>
      <c r="AP37" s="65">
        <f t="shared" si="15"/>
        <v>282.8875313807531</v>
      </c>
    </row>
    <row r="38" spans="1:43" s="57" customFormat="1">
      <c r="A38" s="86" t="s">
        <v>64</v>
      </c>
      <c r="B38" s="158" t="s">
        <v>211</v>
      </c>
      <c r="C38" s="161" t="s">
        <v>336</v>
      </c>
      <c r="D38" s="160"/>
      <c r="E38" s="65">
        <v>2504</v>
      </c>
      <c r="F38" s="65">
        <f t="shared" si="1"/>
        <v>480313.54</v>
      </c>
      <c r="G38" s="65">
        <v>58601.490000000005</v>
      </c>
      <c r="H38" s="65">
        <v>9143.6799999999985</v>
      </c>
      <c r="I38" s="65">
        <v>24043.450000000004</v>
      </c>
      <c r="J38" s="65">
        <v>373906.38999999996</v>
      </c>
      <c r="K38" s="65">
        <v>14618.53</v>
      </c>
      <c r="L38" s="65">
        <v>7</v>
      </c>
      <c r="M38" s="65">
        <f t="shared" si="2"/>
        <v>12737.06</v>
      </c>
      <c r="N38" s="65">
        <v>0</v>
      </c>
      <c r="O38" s="65">
        <v>187.46</v>
      </c>
      <c r="P38" s="65">
        <v>0</v>
      </c>
      <c r="Q38" s="65">
        <v>12549.6</v>
      </c>
      <c r="R38" s="65">
        <v>0</v>
      </c>
      <c r="S38" s="65">
        <v>519</v>
      </c>
      <c r="T38" s="65">
        <f t="shared" si="3"/>
        <v>105509.19</v>
      </c>
      <c r="U38" s="65">
        <v>17951.759999999998</v>
      </c>
      <c r="V38" s="65">
        <v>15240.08</v>
      </c>
      <c r="W38" s="65">
        <v>31788.190000000002</v>
      </c>
      <c r="X38" s="65">
        <v>17833.309999999998</v>
      </c>
      <c r="Y38" s="65">
        <v>22695.85</v>
      </c>
      <c r="Z38" s="65">
        <f t="shared" si="4"/>
        <v>3030</v>
      </c>
      <c r="AA38" s="65">
        <f t="shared" si="5"/>
        <v>598559.79</v>
      </c>
      <c r="AB38" s="65">
        <f t="shared" si="6"/>
        <v>76553.25</v>
      </c>
      <c r="AC38" s="65">
        <f t="shared" si="7"/>
        <v>24571.219999999998</v>
      </c>
      <c r="AD38" s="65">
        <f t="shared" si="8"/>
        <v>55831.640000000007</v>
      </c>
      <c r="AE38" s="65">
        <f t="shared" si="9"/>
        <v>404289.29999999993</v>
      </c>
      <c r="AF38" s="65">
        <f t="shared" si="10"/>
        <v>37314.379999999997</v>
      </c>
      <c r="AG38" s="65">
        <f t="shared" si="11"/>
        <v>3030</v>
      </c>
      <c r="AH38" s="65">
        <f t="shared" si="12"/>
        <v>598559.79</v>
      </c>
      <c r="AI38" s="65">
        <v>0</v>
      </c>
      <c r="AJ38" s="65">
        <v>0</v>
      </c>
      <c r="AK38" s="65">
        <v>0</v>
      </c>
      <c r="AL38" s="65">
        <v>0</v>
      </c>
      <c r="AM38" s="65"/>
      <c r="AN38" s="65">
        <f t="shared" si="13"/>
        <v>3030</v>
      </c>
      <c r="AO38" s="65">
        <f t="shared" si="14"/>
        <v>598559.79</v>
      </c>
      <c r="AP38" s="65">
        <f t="shared" si="15"/>
        <v>197.54448514851487</v>
      </c>
    </row>
    <row r="39" spans="1:43" s="57" customFormat="1">
      <c r="A39" s="86" t="s">
        <v>65</v>
      </c>
      <c r="B39" s="158" t="s">
        <v>209</v>
      </c>
      <c r="C39" s="161" t="s">
        <v>336</v>
      </c>
      <c r="D39" s="159" t="s">
        <v>174</v>
      </c>
      <c r="E39" s="65">
        <v>240</v>
      </c>
      <c r="F39" s="65">
        <f t="shared" si="1"/>
        <v>15911.420000000002</v>
      </c>
      <c r="G39" s="65">
        <v>8329.4200000000019</v>
      </c>
      <c r="H39" s="65">
        <v>0</v>
      </c>
      <c r="I39" s="65">
        <v>389.5</v>
      </c>
      <c r="J39" s="65">
        <v>6997.1600000000008</v>
      </c>
      <c r="K39" s="65">
        <v>195.34</v>
      </c>
      <c r="L39" s="65">
        <v>0</v>
      </c>
      <c r="M39" s="65">
        <f t="shared" si="2"/>
        <v>0</v>
      </c>
      <c r="N39" s="65">
        <v>0</v>
      </c>
      <c r="O39" s="65">
        <v>0</v>
      </c>
      <c r="P39" s="65">
        <v>0</v>
      </c>
      <c r="Q39" s="65">
        <v>0</v>
      </c>
      <c r="R39" s="65">
        <v>0</v>
      </c>
      <c r="S39" s="65">
        <v>5</v>
      </c>
      <c r="T39" s="65">
        <f t="shared" si="3"/>
        <v>1088.96</v>
      </c>
      <c r="U39" s="65">
        <v>605.35</v>
      </c>
      <c r="V39" s="65">
        <v>80.98</v>
      </c>
      <c r="W39" s="65">
        <v>227.17</v>
      </c>
      <c r="X39" s="65">
        <v>0</v>
      </c>
      <c r="Y39" s="65">
        <v>175.46</v>
      </c>
      <c r="Z39" s="65">
        <f t="shared" si="4"/>
        <v>245</v>
      </c>
      <c r="AA39" s="65">
        <f t="shared" si="5"/>
        <v>17000.38</v>
      </c>
      <c r="AB39" s="65">
        <f t="shared" si="6"/>
        <v>8934.7700000000023</v>
      </c>
      <c r="AC39" s="65">
        <f t="shared" si="7"/>
        <v>80.98</v>
      </c>
      <c r="AD39" s="65">
        <f t="shared" si="8"/>
        <v>616.66999999999996</v>
      </c>
      <c r="AE39" s="65">
        <f t="shared" si="9"/>
        <v>6997.1600000000008</v>
      </c>
      <c r="AF39" s="65">
        <f t="shared" si="10"/>
        <v>370.8</v>
      </c>
      <c r="AG39" s="65">
        <f t="shared" si="11"/>
        <v>245</v>
      </c>
      <c r="AH39" s="65">
        <f t="shared" si="12"/>
        <v>17000.38</v>
      </c>
      <c r="AI39" s="65">
        <v>0</v>
      </c>
      <c r="AJ39" s="65">
        <v>0</v>
      </c>
      <c r="AK39" s="65">
        <v>0</v>
      </c>
      <c r="AL39" s="65">
        <v>0</v>
      </c>
      <c r="AM39" s="65"/>
      <c r="AN39" s="65">
        <f t="shared" si="13"/>
        <v>245</v>
      </c>
      <c r="AO39" s="65">
        <f t="shared" si="14"/>
        <v>17000.38</v>
      </c>
      <c r="AP39" s="65">
        <f t="shared" si="15"/>
        <v>69.389306122448986</v>
      </c>
    </row>
    <row r="40" spans="1:43" s="57" customFormat="1">
      <c r="A40" s="86" t="s">
        <v>66</v>
      </c>
      <c r="B40" s="158" t="s">
        <v>211</v>
      </c>
      <c r="C40" s="161" t="s">
        <v>336</v>
      </c>
      <c r="D40" s="160"/>
      <c r="E40" s="65">
        <v>437</v>
      </c>
      <c r="F40" s="65">
        <f t="shared" si="1"/>
        <v>120687.92000000001</v>
      </c>
      <c r="G40" s="65">
        <v>24126.880000000001</v>
      </c>
      <c r="H40" s="65">
        <v>434.11</v>
      </c>
      <c r="I40" s="65">
        <v>2956.45</v>
      </c>
      <c r="J40" s="65">
        <v>92236.670000000013</v>
      </c>
      <c r="K40" s="65">
        <v>933.81000000000006</v>
      </c>
      <c r="L40" s="65">
        <v>0</v>
      </c>
      <c r="M40" s="65">
        <f t="shared" si="2"/>
        <v>0</v>
      </c>
      <c r="N40" s="65">
        <v>0</v>
      </c>
      <c r="O40" s="65">
        <v>0</v>
      </c>
      <c r="P40" s="65">
        <v>0</v>
      </c>
      <c r="Q40" s="65">
        <v>0</v>
      </c>
      <c r="R40" s="65">
        <v>0</v>
      </c>
      <c r="S40" s="65">
        <v>280</v>
      </c>
      <c r="T40" s="65">
        <f t="shared" si="3"/>
        <v>177855.86000000002</v>
      </c>
      <c r="U40" s="65">
        <v>28678.15</v>
      </c>
      <c r="V40" s="65">
        <v>5316.7800000000007</v>
      </c>
      <c r="W40" s="65">
        <v>42214.39</v>
      </c>
      <c r="X40" s="65">
        <v>83923.97</v>
      </c>
      <c r="Y40" s="65">
        <v>17722.57</v>
      </c>
      <c r="Z40" s="65">
        <f t="shared" si="4"/>
        <v>717</v>
      </c>
      <c r="AA40" s="65">
        <f t="shared" si="5"/>
        <v>298543.78000000003</v>
      </c>
      <c r="AB40" s="65">
        <f t="shared" si="6"/>
        <v>52805.03</v>
      </c>
      <c r="AC40" s="65">
        <f t="shared" si="7"/>
        <v>5750.89</v>
      </c>
      <c r="AD40" s="65">
        <f t="shared" si="8"/>
        <v>45170.84</v>
      </c>
      <c r="AE40" s="65">
        <f t="shared" si="9"/>
        <v>176160.64000000001</v>
      </c>
      <c r="AF40" s="65">
        <f t="shared" si="10"/>
        <v>18656.38</v>
      </c>
      <c r="AG40" s="65">
        <f t="shared" si="11"/>
        <v>717</v>
      </c>
      <c r="AH40" s="65">
        <f t="shared" si="12"/>
        <v>298543.78000000003</v>
      </c>
      <c r="AI40" s="65">
        <v>0</v>
      </c>
      <c r="AJ40" s="65">
        <v>0</v>
      </c>
      <c r="AK40" s="65">
        <v>0</v>
      </c>
      <c r="AL40" s="65">
        <v>0</v>
      </c>
      <c r="AM40" s="65"/>
      <c r="AN40" s="65">
        <f t="shared" si="13"/>
        <v>717</v>
      </c>
      <c r="AO40" s="65">
        <f t="shared" si="14"/>
        <v>298543.78000000003</v>
      </c>
      <c r="AP40" s="65">
        <f t="shared" si="15"/>
        <v>416.37905160390522</v>
      </c>
    </row>
    <row r="41" spans="1:43" s="57" customFormat="1">
      <c r="A41" s="86" t="s">
        <v>67</v>
      </c>
      <c r="B41" s="158" t="s">
        <v>212</v>
      </c>
      <c r="C41" s="161" t="s">
        <v>335</v>
      </c>
      <c r="D41" s="159"/>
      <c r="E41" s="65">
        <v>1154</v>
      </c>
      <c r="F41" s="65">
        <f t="shared" si="1"/>
        <v>316973.02</v>
      </c>
      <c r="G41" s="65">
        <v>68004.340000000011</v>
      </c>
      <c r="H41" s="65">
        <v>783.72</v>
      </c>
      <c r="I41" s="65">
        <v>5162.62</v>
      </c>
      <c r="J41" s="65">
        <v>238324.97000000003</v>
      </c>
      <c r="K41" s="65">
        <v>4697.37</v>
      </c>
      <c r="L41" s="65">
        <v>6</v>
      </c>
      <c r="M41" s="65">
        <f t="shared" si="2"/>
        <v>5757.94</v>
      </c>
      <c r="N41" s="65">
        <v>0</v>
      </c>
      <c r="O41" s="65">
        <v>0</v>
      </c>
      <c r="P41" s="65">
        <v>0</v>
      </c>
      <c r="Q41" s="65">
        <v>5757.94</v>
      </c>
      <c r="R41" s="65">
        <v>0</v>
      </c>
      <c r="S41" s="65">
        <v>575</v>
      </c>
      <c r="T41" s="65">
        <f t="shared" si="3"/>
        <v>122235.93</v>
      </c>
      <c r="U41" s="65">
        <v>22659.34</v>
      </c>
      <c r="V41" s="65">
        <v>5351.84</v>
      </c>
      <c r="W41" s="65">
        <v>17105.25</v>
      </c>
      <c r="X41" s="65">
        <v>62371.59</v>
      </c>
      <c r="Y41" s="65">
        <v>14747.91</v>
      </c>
      <c r="Z41" s="65">
        <f t="shared" si="4"/>
        <v>1735</v>
      </c>
      <c r="AA41" s="65">
        <f t="shared" si="5"/>
        <v>444966.89</v>
      </c>
      <c r="AB41" s="65">
        <f t="shared" si="6"/>
        <v>90663.680000000008</v>
      </c>
      <c r="AC41" s="65">
        <f t="shared" si="7"/>
        <v>6135.56</v>
      </c>
      <c r="AD41" s="65">
        <f t="shared" si="8"/>
        <v>22267.87</v>
      </c>
      <c r="AE41" s="65">
        <f t="shared" si="9"/>
        <v>306454.5</v>
      </c>
      <c r="AF41" s="65">
        <f t="shared" si="10"/>
        <v>19445.28</v>
      </c>
      <c r="AG41" s="65">
        <f t="shared" si="11"/>
        <v>1735</v>
      </c>
      <c r="AH41" s="65">
        <f t="shared" si="12"/>
        <v>444966.89</v>
      </c>
      <c r="AI41" s="65">
        <v>0</v>
      </c>
      <c r="AJ41" s="65">
        <v>0</v>
      </c>
      <c r="AK41" s="65">
        <v>0</v>
      </c>
      <c r="AL41" s="65">
        <v>0</v>
      </c>
      <c r="AM41" s="65"/>
      <c r="AN41" s="65">
        <f t="shared" si="13"/>
        <v>1735</v>
      </c>
      <c r="AO41" s="65">
        <f t="shared" si="14"/>
        <v>444966.89</v>
      </c>
      <c r="AP41" s="65">
        <f t="shared" si="15"/>
        <v>256.46506628242076</v>
      </c>
    </row>
    <row r="42" spans="1:43" s="57" customFormat="1">
      <c r="A42" s="86" t="s">
        <v>68</v>
      </c>
      <c r="B42" s="158" t="s">
        <v>211</v>
      </c>
      <c r="C42" s="161" t="s">
        <v>335</v>
      </c>
      <c r="D42" s="10"/>
      <c r="E42" s="65">
        <v>402</v>
      </c>
      <c r="F42" s="65">
        <f t="shared" si="1"/>
        <v>65248.439999999995</v>
      </c>
      <c r="G42" s="65">
        <v>14965.95</v>
      </c>
      <c r="H42" s="65">
        <v>900.21</v>
      </c>
      <c r="I42" s="65">
        <v>657.89</v>
      </c>
      <c r="J42" s="65">
        <v>47163.24</v>
      </c>
      <c r="K42" s="65">
        <v>1561.1499999999999</v>
      </c>
      <c r="L42" s="65">
        <v>0</v>
      </c>
      <c r="M42" s="65">
        <f t="shared" si="2"/>
        <v>0</v>
      </c>
      <c r="N42" s="65">
        <v>0</v>
      </c>
      <c r="O42" s="65">
        <v>0</v>
      </c>
      <c r="P42" s="65">
        <v>0</v>
      </c>
      <c r="Q42" s="65">
        <v>0</v>
      </c>
      <c r="R42" s="65">
        <v>0</v>
      </c>
      <c r="S42" s="65">
        <v>244</v>
      </c>
      <c r="T42" s="65">
        <f t="shared" si="3"/>
        <v>138646.90999999997</v>
      </c>
      <c r="U42" s="65">
        <v>28559.88</v>
      </c>
      <c r="V42" s="65">
        <v>6554.4299999999994</v>
      </c>
      <c r="W42" s="65">
        <v>31599.539999999997</v>
      </c>
      <c r="X42" s="65">
        <v>57231.48</v>
      </c>
      <c r="Y42" s="65">
        <v>14701.58</v>
      </c>
      <c r="Z42" s="65">
        <f t="shared" si="4"/>
        <v>646</v>
      </c>
      <c r="AA42" s="65">
        <f t="shared" si="5"/>
        <v>203895.34999999998</v>
      </c>
      <c r="AB42" s="65">
        <f t="shared" si="6"/>
        <v>43525.83</v>
      </c>
      <c r="AC42" s="65">
        <f t="shared" si="7"/>
        <v>7454.6399999999994</v>
      </c>
      <c r="AD42" s="65">
        <f t="shared" si="8"/>
        <v>32257.429999999997</v>
      </c>
      <c r="AE42" s="65">
        <f t="shared" si="9"/>
        <v>104394.72</v>
      </c>
      <c r="AF42" s="65">
        <f t="shared" si="10"/>
        <v>16262.73</v>
      </c>
      <c r="AG42" s="65">
        <f t="shared" si="11"/>
        <v>646</v>
      </c>
      <c r="AH42" s="65">
        <f t="shared" si="12"/>
        <v>203895.34999999998</v>
      </c>
      <c r="AI42" s="65">
        <v>0</v>
      </c>
      <c r="AJ42" s="65">
        <v>0</v>
      </c>
      <c r="AK42" s="65">
        <v>0</v>
      </c>
      <c r="AL42" s="65">
        <v>0</v>
      </c>
      <c r="AM42" s="65"/>
      <c r="AN42" s="65">
        <f t="shared" si="13"/>
        <v>646</v>
      </c>
      <c r="AO42" s="65">
        <f t="shared" si="14"/>
        <v>203895.34999999998</v>
      </c>
      <c r="AP42" s="65">
        <f t="shared" si="15"/>
        <v>315.6274767801857</v>
      </c>
    </row>
    <row r="43" spans="1:43" s="57" customFormat="1">
      <c r="A43" s="86" t="s">
        <v>69</v>
      </c>
      <c r="B43" s="158" t="s">
        <v>209</v>
      </c>
      <c r="C43" s="161" t="s">
        <v>335</v>
      </c>
      <c r="D43" s="10"/>
      <c r="E43" s="65">
        <v>17</v>
      </c>
      <c r="F43" s="65">
        <f t="shared" si="1"/>
        <v>12072.28</v>
      </c>
      <c r="G43" s="65">
        <v>291.85000000000002</v>
      </c>
      <c r="H43" s="65">
        <v>0</v>
      </c>
      <c r="I43" s="65">
        <v>0</v>
      </c>
      <c r="J43" s="65">
        <v>11780.43</v>
      </c>
      <c r="K43" s="65">
        <v>0</v>
      </c>
      <c r="L43" s="65">
        <v>6</v>
      </c>
      <c r="M43" s="65">
        <f t="shared" si="2"/>
        <v>20189.97</v>
      </c>
      <c r="N43" s="65">
        <v>0</v>
      </c>
      <c r="O43" s="65">
        <v>0</v>
      </c>
      <c r="P43" s="65">
        <v>0</v>
      </c>
      <c r="Q43" s="65">
        <v>20189.97</v>
      </c>
      <c r="R43" s="65">
        <v>0</v>
      </c>
      <c r="S43" s="65">
        <v>18</v>
      </c>
      <c r="T43" s="65">
        <f t="shared" si="3"/>
        <v>1172.74</v>
      </c>
      <c r="U43" s="65">
        <v>227.29</v>
      </c>
      <c r="V43" s="65">
        <v>191.56</v>
      </c>
      <c r="W43" s="65">
        <v>667.18</v>
      </c>
      <c r="X43" s="65">
        <v>0</v>
      </c>
      <c r="Y43" s="65">
        <v>86.71</v>
      </c>
      <c r="Z43" s="65">
        <f t="shared" si="4"/>
        <v>41</v>
      </c>
      <c r="AA43" s="65">
        <f t="shared" si="5"/>
        <v>33434.99</v>
      </c>
      <c r="AB43" s="65">
        <f t="shared" si="6"/>
        <v>519.14</v>
      </c>
      <c r="AC43" s="65">
        <f t="shared" si="7"/>
        <v>191.56</v>
      </c>
      <c r="AD43" s="65">
        <f t="shared" si="8"/>
        <v>667.18</v>
      </c>
      <c r="AE43" s="65">
        <f t="shared" si="9"/>
        <v>31970.400000000001</v>
      </c>
      <c r="AF43" s="65">
        <f t="shared" si="10"/>
        <v>86.71</v>
      </c>
      <c r="AG43" s="65">
        <f t="shared" si="11"/>
        <v>41</v>
      </c>
      <c r="AH43" s="65">
        <f t="shared" si="12"/>
        <v>33434.99</v>
      </c>
      <c r="AI43" s="65">
        <v>0</v>
      </c>
      <c r="AJ43" s="65">
        <v>0</v>
      </c>
      <c r="AK43" s="65">
        <v>0</v>
      </c>
      <c r="AL43" s="65">
        <v>0</v>
      </c>
      <c r="AM43" s="65"/>
      <c r="AN43" s="65">
        <f t="shared" si="13"/>
        <v>41</v>
      </c>
      <c r="AO43" s="65">
        <f t="shared" si="14"/>
        <v>33434.99</v>
      </c>
      <c r="AP43" s="65">
        <f t="shared" si="15"/>
        <v>815.48756097560965</v>
      </c>
    </row>
    <row r="44" spans="1:43" s="57" customFormat="1">
      <c r="A44" s="86" t="s">
        <v>70</v>
      </c>
      <c r="B44" s="158" t="s">
        <v>209</v>
      </c>
      <c r="C44" s="161" t="s">
        <v>336</v>
      </c>
      <c r="D44" s="159" t="s">
        <v>174</v>
      </c>
      <c r="E44" s="65">
        <v>48</v>
      </c>
      <c r="F44" s="65">
        <f t="shared" si="1"/>
        <v>14408.53</v>
      </c>
      <c r="G44" s="65">
        <v>1331.32</v>
      </c>
      <c r="H44" s="65">
        <v>121.67</v>
      </c>
      <c r="I44" s="65">
        <v>224.61999999999998</v>
      </c>
      <c r="J44" s="65">
        <v>12467.69</v>
      </c>
      <c r="K44" s="65">
        <v>263.23</v>
      </c>
      <c r="L44" s="65">
        <v>7</v>
      </c>
      <c r="M44" s="65">
        <f t="shared" si="2"/>
        <v>17779.5</v>
      </c>
      <c r="N44" s="65">
        <v>0</v>
      </c>
      <c r="O44" s="65">
        <v>0</v>
      </c>
      <c r="P44" s="65">
        <v>0</v>
      </c>
      <c r="Q44" s="65">
        <v>17779.5</v>
      </c>
      <c r="R44" s="65">
        <v>0</v>
      </c>
      <c r="S44" s="65">
        <v>96</v>
      </c>
      <c r="T44" s="65">
        <f t="shared" si="3"/>
        <v>13718.460000000001</v>
      </c>
      <c r="U44" s="65">
        <v>5484.29</v>
      </c>
      <c r="V44" s="65">
        <v>231.41</v>
      </c>
      <c r="W44" s="65">
        <v>3822.11</v>
      </c>
      <c r="X44" s="65">
        <v>2112.21</v>
      </c>
      <c r="Y44" s="65">
        <v>2068.44</v>
      </c>
      <c r="Z44" s="65">
        <f t="shared" si="4"/>
        <v>151</v>
      </c>
      <c r="AA44" s="65">
        <f t="shared" si="5"/>
        <v>45906.49</v>
      </c>
      <c r="AB44" s="65">
        <f t="shared" si="6"/>
        <v>6815.61</v>
      </c>
      <c r="AC44" s="65">
        <f t="shared" si="7"/>
        <v>353.08</v>
      </c>
      <c r="AD44" s="65">
        <f t="shared" si="8"/>
        <v>4046.73</v>
      </c>
      <c r="AE44" s="65">
        <f t="shared" si="9"/>
        <v>32359.4</v>
      </c>
      <c r="AF44" s="65">
        <f t="shared" si="10"/>
        <v>2331.67</v>
      </c>
      <c r="AG44" s="65">
        <f t="shared" si="11"/>
        <v>151</v>
      </c>
      <c r="AH44" s="65">
        <f t="shared" si="12"/>
        <v>45906.49</v>
      </c>
      <c r="AI44" s="65">
        <v>0</v>
      </c>
      <c r="AJ44" s="65">
        <v>0</v>
      </c>
      <c r="AK44" s="65">
        <v>0</v>
      </c>
      <c r="AL44" s="65">
        <v>0</v>
      </c>
      <c r="AM44" s="65"/>
      <c r="AN44" s="65">
        <f t="shared" si="13"/>
        <v>151</v>
      </c>
      <c r="AO44" s="65">
        <f t="shared" si="14"/>
        <v>45906.49</v>
      </c>
      <c r="AP44" s="65">
        <f t="shared" si="15"/>
        <v>304.01649006622517</v>
      </c>
    </row>
    <row r="45" spans="1:43" s="57" customFormat="1">
      <c r="A45" s="86" t="s">
        <v>155</v>
      </c>
      <c r="B45" s="158" t="s">
        <v>212</v>
      </c>
      <c r="C45" s="161" t="s">
        <v>336</v>
      </c>
      <c r="D45" s="160"/>
      <c r="E45" s="65">
        <v>202</v>
      </c>
      <c r="F45" s="65">
        <f t="shared" si="1"/>
        <v>40948.219999999994</v>
      </c>
      <c r="G45" s="65">
        <v>13715.48</v>
      </c>
      <c r="H45" s="65">
        <v>54.28</v>
      </c>
      <c r="I45" s="65">
        <v>195.92999999999998</v>
      </c>
      <c r="J45" s="65">
        <v>26514.789999999997</v>
      </c>
      <c r="K45" s="65">
        <v>467.74</v>
      </c>
      <c r="L45" s="65">
        <v>0</v>
      </c>
      <c r="M45" s="65">
        <f t="shared" si="2"/>
        <v>0</v>
      </c>
      <c r="N45" s="65">
        <v>0</v>
      </c>
      <c r="O45" s="65">
        <v>0</v>
      </c>
      <c r="P45" s="65">
        <v>0</v>
      </c>
      <c r="Q45" s="65">
        <v>0</v>
      </c>
      <c r="R45" s="65">
        <v>0</v>
      </c>
      <c r="S45" s="65">
        <v>158</v>
      </c>
      <c r="T45" s="65">
        <f t="shared" si="3"/>
        <v>24707.8</v>
      </c>
      <c r="U45" s="65">
        <v>6544.6</v>
      </c>
      <c r="V45" s="65">
        <v>1308.82</v>
      </c>
      <c r="W45" s="65">
        <v>1777.56</v>
      </c>
      <c r="X45" s="65">
        <v>12333.48</v>
      </c>
      <c r="Y45" s="65">
        <v>2743.34</v>
      </c>
      <c r="Z45" s="65">
        <f t="shared" si="4"/>
        <v>360</v>
      </c>
      <c r="AA45" s="65">
        <f t="shared" si="5"/>
        <v>65656.01999999999</v>
      </c>
      <c r="AB45" s="65">
        <f t="shared" si="6"/>
        <v>20260.080000000002</v>
      </c>
      <c r="AC45" s="65">
        <f t="shared" si="7"/>
        <v>1363.1</v>
      </c>
      <c r="AD45" s="65">
        <f t="shared" si="8"/>
        <v>1973.49</v>
      </c>
      <c r="AE45" s="65">
        <f t="shared" si="9"/>
        <v>38848.269999999997</v>
      </c>
      <c r="AF45" s="65">
        <f t="shared" si="10"/>
        <v>3211.08</v>
      </c>
      <c r="AG45" s="65">
        <f t="shared" si="11"/>
        <v>360</v>
      </c>
      <c r="AH45" s="65">
        <f t="shared" si="12"/>
        <v>65656.01999999999</v>
      </c>
      <c r="AI45" s="65">
        <v>0</v>
      </c>
      <c r="AJ45" s="65">
        <v>0</v>
      </c>
      <c r="AK45" s="65">
        <v>0</v>
      </c>
      <c r="AL45" s="65">
        <v>0</v>
      </c>
      <c r="AM45" s="65"/>
      <c r="AN45" s="65">
        <f t="shared" si="13"/>
        <v>360</v>
      </c>
      <c r="AO45" s="65">
        <f t="shared" si="14"/>
        <v>65656.01999999999</v>
      </c>
      <c r="AP45" s="65">
        <f t="shared" si="15"/>
        <v>182.37783333333331</v>
      </c>
    </row>
    <row r="46" spans="1:43" s="57" customFormat="1">
      <c r="A46" s="86" t="s">
        <v>71</v>
      </c>
      <c r="B46" s="158" t="s">
        <v>211</v>
      </c>
      <c r="C46" s="161" t="s">
        <v>335</v>
      </c>
      <c r="D46" s="10"/>
      <c r="E46" s="65">
        <v>350</v>
      </c>
      <c r="F46" s="65">
        <f t="shared" si="1"/>
        <v>83638.25</v>
      </c>
      <c r="G46" s="65">
        <v>17253.190000000002</v>
      </c>
      <c r="H46" s="65">
        <v>206.19</v>
      </c>
      <c r="I46" s="65">
        <v>920.96</v>
      </c>
      <c r="J46" s="65">
        <v>64924.94</v>
      </c>
      <c r="K46" s="65">
        <v>332.96999999999997</v>
      </c>
      <c r="L46" s="65">
        <v>0</v>
      </c>
      <c r="M46" s="65">
        <f t="shared" si="2"/>
        <v>0</v>
      </c>
      <c r="N46" s="65">
        <v>0</v>
      </c>
      <c r="O46" s="65">
        <v>0</v>
      </c>
      <c r="P46" s="65">
        <v>0</v>
      </c>
      <c r="Q46" s="65">
        <v>0</v>
      </c>
      <c r="R46" s="65">
        <v>0</v>
      </c>
      <c r="S46" s="65">
        <v>66</v>
      </c>
      <c r="T46" s="65">
        <f t="shared" si="3"/>
        <v>56087.54</v>
      </c>
      <c r="U46" s="65">
        <v>9639.2199999999993</v>
      </c>
      <c r="V46" s="65">
        <v>1593.84</v>
      </c>
      <c r="W46" s="65">
        <v>21722.120000000003</v>
      </c>
      <c r="X46" s="65">
        <v>19377.23</v>
      </c>
      <c r="Y46" s="65">
        <v>3755.13</v>
      </c>
      <c r="Z46" s="65">
        <f t="shared" si="4"/>
        <v>416</v>
      </c>
      <c r="AA46" s="65">
        <f t="shared" si="5"/>
        <v>139725.79</v>
      </c>
      <c r="AB46" s="65">
        <f t="shared" si="6"/>
        <v>26892.410000000003</v>
      </c>
      <c r="AC46" s="65">
        <f t="shared" si="7"/>
        <v>1800.03</v>
      </c>
      <c r="AD46" s="65">
        <f t="shared" si="8"/>
        <v>22643.08</v>
      </c>
      <c r="AE46" s="65">
        <f t="shared" si="9"/>
        <v>84302.17</v>
      </c>
      <c r="AF46" s="65">
        <f t="shared" si="10"/>
        <v>4088.1</v>
      </c>
      <c r="AG46" s="65">
        <f t="shared" si="11"/>
        <v>416</v>
      </c>
      <c r="AH46" s="65">
        <f t="shared" si="12"/>
        <v>139725.79</v>
      </c>
      <c r="AI46" s="65">
        <v>0</v>
      </c>
      <c r="AJ46" s="65">
        <v>0</v>
      </c>
      <c r="AK46" s="65">
        <v>0</v>
      </c>
      <c r="AL46" s="65">
        <v>0</v>
      </c>
      <c r="AM46" s="65"/>
      <c r="AN46" s="65">
        <f t="shared" si="13"/>
        <v>416</v>
      </c>
      <c r="AO46" s="65">
        <f t="shared" si="14"/>
        <v>139725.79</v>
      </c>
      <c r="AP46" s="65">
        <f t="shared" si="15"/>
        <v>335.87930288461541</v>
      </c>
    </row>
    <row r="47" spans="1:43" s="57" customFormat="1">
      <c r="A47" s="86" t="s">
        <v>72</v>
      </c>
      <c r="B47" s="158" t="s">
        <v>209</v>
      </c>
      <c r="C47" s="161" t="s">
        <v>336</v>
      </c>
      <c r="D47" s="159" t="s">
        <v>174</v>
      </c>
      <c r="E47" s="65">
        <v>298</v>
      </c>
      <c r="F47" s="65">
        <f t="shared" si="1"/>
        <v>63979.44999999999</v>
      </c>
      <c r="G47" s="65">
        <v>10033.9</v>
      </c>
      <c r="H47" s="65">
        <v>75.3</v>
      </c>
      <c r="I47" s="65">
        <v>1634.33</v>
      </c>
      <c r="J47" s="65">
        <v>48594.899999999994</v>
      </c>
      <c r="K47" s="65">
        <v>3641.02</v>
      </c>
      <c r="L47" s="65">
        <v>16</v>
      </c>
      <c r="M47" s="65">
        <f t="shared" si="2"/>
        <v>27034.9</v>
      </c>
      <c r="N47" s="65">
        <v>0</v>
      </c>
      <c r="O47" s="65">
        <v>0</v>
      </c>
      <c r="P47" s="65">
        <v>0</v>
      </c>
      <c r="Q47" s="65">
        <v>27034.9</v>
      </c>
      <c r="R47" s="65">
        <v>0</v>
      </c>
      <c r="S47" s="65">
        <v>374</v>
      </c>
      <c r="T47" s="65">
        <f t="shared" si="3"/>
        <v>75348.350000000006</v>
      </c>
      <c r="U47" s="65">
        <v>16039.76</v>
      </c>
      <c r="V47" s="65">
        <v>4310.7300000000005</v>
      </c>
      <c r="W47" s="65">
        <v>15447.6</v>
      </c>
      <c r="X47" s="65">
        <v>25451.690000000002</v>
      </c>
      <c r="Y47" s="65">
        <v>14098.57</v>
      </c>
      <c r="Z47" s="65">
        <f t="shared" si="4"/>
        <v>688</v>
      </c>
      <c r="AA47" s="65">
        <f t="shared" si="5"/>
        <v>166362.70000000001</v>
      </c>
      <c r="AB47" s="65">
        <f t="shared" si="6"/>
        <v>26073.66</v>
      </c>
      <c r="AC47" s="65">
        <f t="shared" si="7"/>
        <v>4386.0300000000007</v>
      </c>
      <c r="AD47" s="65">
        <f t="shared" si="8"/>
        <v>17081.93</v>
      </c>
      <c r="AE47" s="65">
        <f t="shared" si="9"/>
        <v>101081.48999999999</v>
      </c>
      <c r="AF47" s="65">
        <f t="shared" si="10"/>
        <v>17739.59</v>
      </c>
      <c r="AG47" s="65">
        <f t="shared" si="11"/>
        <v>688</v>
      </c>
      <c r="AH47" s="65">
        <f t="shared" si="12"/>
        <v>166362.70000000001</v>
      </c>
      <c r="AI47" s="65">
        <v>0</v>
      </c>
      <c r="AJ47" s="65">
        <v>0</v>
      </c>
      <c r="AK47" s="65">
        <v>0</v>
      </c>
      <c r="AL47" s="65">
        <v>0</v>
      </c>
      <c r="AM47" s="65"/>
      <c r="AN47" s="65">
        <f t="shared" si="13"/>
        <v>688</v>
      </c>
      <c r="AO47" s="65">
        <f t="shared" si="14"/>
        <v>166362.70000000001</v>
      </c>
      <c r="AP47" s="65">
        <f t="shared" si="15"/>
        <v>241.80625000000001</v>
      </c>
    </row>
    <row r="48" spans="1:43" s="57" customFormat="1" ht="17.25">
      <c r="A48" s="132" t="s">
        <v>347</v>
      </c>
      <c r="B48" s="161" t="s">
        <v>210</v>
      </c>
      <c r="C48" s="161" t="s">
        <v>336</v>
      </c>
      <c r="D48" s="159"/>
      <c r="E48" s="65">
        <v>0</v>
      </c>
      <c r="F48" s="65">
        <f t="shared" si="1"/>
        <v>0</v>
      </c>
      <c r="G48" s="65">
        <v>0</v>
      </c>
      <c r="H48" s="65">
        <v>0</v>
      </c>
      <c r="I48" s="65">
        <v>0</v>
      </c>
      <c r="J48" s="65">
        <v>0</v>
      </c>
      <c r="K48" s="65">
        <v>0</v>
      </c>
      <c r="L48" s="65">
        <v>0</v>
      </c>
      <c r="M48" s="65">
        <f t="shared" si="2"/>
        <v>0</v>
      </c>
      <c r="N48" s="65">
        <v>0</v>
      </c>
      <c r="O48" s="65">
        <v>0</v>
      </c>
      <c r="P48" s="65">
        <v>0</v>
      </c>
      <c r="Q48" s="65">
        <v>0</v>
      </c>
      <c r="R48" s="65">
        <v>0</v>
      </c>
      <c r="S48" s="65">
        <v>0</v>
      </c>
      <c r="T48" s="65">
        <f t="shared" si="3"/>
        <v>0</v>
      </c>
      <c r="U48" s="65">
        <v>0</v>
      </c>
      <c r="V48" s="65">
        <v>0</v>
      </c>
      <c r="W48" s="65">
        <v>0</v>
      </c>
      <c r="X48" s="65">
        <v>0</v>
      </c>
      <c r="Y48" s="65">
        <v>0</v>
      </c>
      <c r="Z48" s="65">
        <f t="shared" si="4"/>
        <v>0</v>
      </c>
      <c r="AA48" s="65">
        <f t="shared" si="5"/>
        <v>0</v>
      </c>
      <c r="AB48" s="65">
        <f t="shared" si="6"/>
        <v>0</v>
      </c>
      <c r="AC48" s="65">
        <f t="shared" si="7"/>
        <v>0</v>
      </c>
      <c r="AD48" s="65">
        <f t="shared" si="8"/>
        <v>0</v>
      </c>
      <c r="AE48" s="65">
        <f t="shared" si="9"/>
        <v>0</v>
      </c>
      <c r="AF48" s="65">
        <f t="shared" si="10"/>
        <v>0</v>
      </c>
      <c r="AG48" s="65">
        <f t="shared" si="11"/>
        <v>0</v>
      </c>
      <c r="AH48" s="65">
        <f t="shared" si="12"/>
        <v>0</v>
      </c>
      <c r="AI48" s="65">
        <v>1286</v>
      </c>
      <c r="AJ48" s="65">
        <v>966337.89649284282</v>
      </c>
      <c r="AK48" s="65">
        <v>0</v>
      </c>
      <c r="AL48" s="65">
        <v>0</v>
      </c>
      <c r="AM48" s="65">
        <v>75748.135198830714</v>
      </c>
      <c r="AN48" s="65">
        <f t="shared" si="13"/>
        <v>1286</v>
      </c>
      <c r="AO48" s="65">
        <f t="shared" si="14"/>
        <v>966337.89649284282</v>
      </c>
      <c r="AP48" s="65">
        <f t="shared" si="15"/>
        <v>751.42915745944231</v>
      </c>
      <c r="AQ48" s="232"/>
    </row>
    <row r="49" spans="1:42" s="57" customFormat="1">
      <c r="A49" s="86" t="s">
        <v>73</v>
      </c>
      <c r="B49" s="158" t="s">
        <v>211</v>
      </c>
      <c r="C49" s="161" t="s">
        <v>335</v>
      </c>
      <c r="D49" s="159"/>
      <c r="E49" s="65">
        <v>1222</v>
      </c>
      <c r="F49" s="65">
        <f t="shared" si="1"/>
        <v>145249.25999999998</v>
      </c>
      <c r="G49" s="65">
        <v>43265.490000000005</v>
      </c>
      <c r="H49" s="65">
        <v>30.85</v>
      </c>
      <c r="I49" s="65">
        <v>3169.8399999999997</v>
      </c>
      <c r="J49" s="65">
        <v>97641.01999999999</v>
      </c>
      <c r="K49" s="65">
        <v>1142.0600000000002</v>
      </c>
      <c r="L49" s="65">
        <v>1</v>
      </c>
      <c r="M49" s="65">
        <f t="shared" si="2"/>
        <v>32.24</v>
      </c>
      <c r="N49" s="65">
        <v>19.059999999999999</v>
      </c>
      <c r="O49" s="65">
        <v>0</v>
      </c>
      <c r="P49" s="65">
        <v>1.35</v>
      </c>
      <c r="Q49" s="65">
        <v>0</v>
      </c>
      <c r="R49" s="65">
        <v>11.83</v>
      </c>
      <c r="S49" s="65">
        <v>39</v>
      </c>
      <c r="T49" s="65">
        <f t="shared" si="3"/>
        <v>3736.16</v>
      </c>
      <c r="U49" s="65">
        <v>1754.96</v>
      </c>
      <c r="V49" s="65">
        <v>183.21</v>
      </c>
      <c r="W49" s="65">
        <v>307.64999999999998</v>
      </c>
      <c r="X49" s="65">
        <v>660.12</v>
      </c>
      <c r="Y49" s="65">
        <v>830.22</v>
      </c>
      <c r="Z49" s="65">
        <f t="shared" si="4"/>
        <v>1262</v>
      </c>
      <c r="AA49" s="65">
        <f t="shared" si="5"/>
        <v>149017.65999999997</v>
      </c>
      <c r="AB49" s="65">
        <f t="shared" si="6"/>
        <v>45039.51</v>
      </c>
      <c r="AC49" s="65">
        <f t="shared" si="7"/>
        <v>214.06</v>
      </c>
      <c r="AD49" s="65">
        <f t="shared" si="8"/>
        <v>3478.8399999999997</v>
      </c>
      <c r="AE49" s="65">
        <f t="shared" si="9"/>
        <v>98301.139999999985</v>
      </c>
      <c r="AF49" s="65">
        <f t="shared" si="10"/>
        <v>1984.1100000000001</v>
      </c>
      <c r="AG49" s="65">
        <f t="shared" si="11"/>
        <v>1262</v>
      </c>
      <c r="AH49" s="65">
        <f t="shared" si="12"/>
        <v>149017.65999999997</v>
      </c>
      <c r="AI49" s="65">
        <v>0</v>
      </c>
      <c r="AJ49" s="65">
        <v>0</v>
      </c>
      <c r="AK49" s="65">
        <v>0</v>
      </c>
      <c r="AL49" s="65">
        <v>0</v>
      </c>
      <c r="AM49" s="65"/>
      <c r="AN49" s="65">
        <f t="shared" si="13"/>
        <v>1262</v>
      </c>
      <c r="AO49" s="65">
        <f t="shared" si="14"/>
        <v>149017.65999999997</v>
      </c>
      <c r="AP49" s="65">
        <f t="shared" si="15"/>
        <v>118.08055467511883</v>
      </c>
    </row>
    <row r="50" spans="1:42" s="57" customFormat="1">
      <c r="A50" s="86" t="s">
        <v>74</v>
      </c>
      <c r="B50" s="158" t="s">
        <v>209</v>
      </c>
      <c r="C50" s="161" t="s">
        <v>335</v>
      </c>
      <c r="D50" s="159"/>
      <c r="E50" s="65">
        <v>40</v>
      </c>
      <c r="F50" s="65">
        <f t="shared" si="1"/>
        <v>2232.4799999999996</v>
      </c>
      <c r="G50" s="65">
        <v>1287.4899999999998</v>
      </c>
      <c r="H50" s="65">
        <v>0</v>
      </c>
      <c r="I50" s="65">
        <v>150.54</v>
      </c>
      <c r="J50" s="65">
        <v>669.2</v>
      </c>
      <c r="K50" s="65">
        <v>125.25</v>
      </c>
      <c r="L50" s="65">
        <v>0</v>
      </c>
      <c r="M50" s="65">
        <f t="shared" si="2"/>
        <v>0</v>
      </c>
      <c r="N50" s="65">
        <v>0</v>
      </c>
      <c r="O50" s="65">
        <v>0</v>
      </c>
      <c r="P50" s="65">
        <v>0</v>
      </c>
      <c r="Q50" s="65">
        <v>0</v>
      </c>
      <c r="R50" s="65">
        <v>0</v>
      </c>
      <c r="S50" s="65">
        <v>149</v>
      </c>
      <c r="T50" s="65">
        <f t="shared" si="3"/>
        <v>22185.46</v>
      </c>
      <c r="U50" s="65">
        <v>5722.62</v>
      </c>
      <c r="V50" s="65">
        <v>999.71</v>
      </c>
      <c r="W50" s="65">
        <v>7934.1799999999994</v>
      </c>
      <c r="X50" s="65">
        <v>1468.8</v>
      </c>
      <c r="Y50" s="65">
        <v>6060.15</v>
      </c>
      <c r="Z50" s="65">
        <f t="shared" si="4"/>
        <v>189</v>
      </c>
      <c r="AA50" s="65">
        <f t="shared" si="5"/>
        <v>24417.94</v>
      </c>
      <c r="AB50" s="65">
        <f t="shared" si="6"/>
        <v>7010.11</v>
      </c>
      <c r="AC50" s="65">
        <f t="shared" si="7"/>
        <v>999.71</v>
      </c>
      <c r="AD50" s="65">
        <f t="shared" si="8"/>
        <v>8084.7199999999993</v>
      </c>
      <c r="AE50" s="65">
        <f t="shared" si="9"/>
        <v>2138</v>
      </c>
      <c r="AF50" s="65">
        <f t="shared" si="10"/>
        <v>6185.4</v>
      </c>
      <c r="AG50" s="65">
        <f t="shared" si="11"/>
        <v>189</v>
      </c>
      <c r="AH50" s="65">
        <f t="shared" si="12"/>
        <v>24417.94</v>
      </c>
      <c r="AI50" s="65">
        <v>0</v>
      </c>
      <c r="AJ50" s="65">
        <v>0</v>
      </c>
      <c r="AK50" s="65">
        <v>0</v>
      </c>
      <c r="AL50" s="65">
        <v>0</v>
      </c>
      <c r="AM50" s="65"/>
      <c r="AN50" s="65">
        <f t="shared" si="13"/>
        <v>189</v>
      </c>
      <c r="AO50" s="65">
        <f t="shared" si="14"/>
        <v>24417.94</v>
      </c>
      <c r="AP50" s="65">
        <f t="shared" si="15"/>
        <v>129.19544973544973</v>
      </c>
    </row>
    <row r="51" spans="1:42" s="57" customFormat="1">
      <c r="A51" s="132" t="s">
        <v>300</v>
      </c>
      <c r="B51" s="161" t="s">
        <v>211</v>
      </c>
      <c r="C51" s="161" t="s">
        <v>335</v>
      </c>
      <c r="D51" s="159"/>
      <c r="E51" s="65">
        <v>15</v>
      </c>
      <c r="F51" s="65">
        <f t="shared" si="1"/>
        <v>7715.91</v>
      </c>
      <c r="G51" s="65">
        <v>414.24</v>
      </c>
      <c r="H51" s="65">
        <v>0</v>
      </c>
      <c r="I51" s="65">
        <v>1099.95</v>
      </c>
      <c r="J51" s="65">
        <v>6067.23</v>
      </c>
      <c r="K51" s="65">
        <v>134.49</v>
      </c>
      <c r="L51" s="65">
        <v>0</v>
      </c>
      <c r="M51" s="65">
        <f t="shared" si="2"/>
        <v>0</v>
      </c>
      <c r="N51" s="65">
        <v>0</v>
      </c>
      <c r="O51" s="65">
        <v>0</v>
      </c>
      <c r="P51" s="65">
        <v>0</v>
      </c>
      <c r="Q51" s="65">
        <v>0</v>
      </c>
      <c r="R51" s="65">
        <v>0</v>
      </c>
      <c r="S51" s="65">
        <v>1</v>
      </c>
      <c r="T51" s="65">
        <f t="shared" si="3"/>
        <v>4.37</v>
      </c>
      <c r="U51" s="65">
        <v>0</v>
      </c>
      <c r="V51" s="65">
        <v>0</v>
      </c>
      <c r="W51" s="65">
        <v>0</v>
      </c>
      <c r="X51" s="65">
        <v>0</v>
      </c>
      <c r="Y51" s="65">
        <v>4.37</v>
      </c>
      <c r="Z51" s="65">
        <f t="shared" si="4"/>
        <v>16</v>
      </c>
      <c r="AA51" s="65">
        <f t="shared" si="5"/>
        <v>7720.28</v>
      </c>
      <c r="AB51" s="65">
        <f t="shared" si="6"/>
        <v>414.24</v>
      </c>
      <c r="AC51" s="65">
        <f t="shared" si="7"/>
        <v>0</v>
      </c>
      <c r="AD51" s="65">
        <f t="shared" si="8"/>
        <v>1099.95</v>
      </c>
      <c r="AE51" s="65">
        <f t="shared" si="9"/>
        <v>6067.23</v>
      </c>
      <c r="AF51" s="65">
        <f t="shared" si="10"/>
        <v>138.86000000000001</v>
      </c>
      <c r="AG51" s="65">
        <f t="shared" si="11"/>
        <v>16</v>
      </c>
      <c r="AH51" s="65">
        <f t="shared" si="12"/>
        <v>7720.28</v>
      </c>
      <c r="AI51" s="65">
        <v>0</v>
      </c>
      <c r="AJ51" s="65">
        <v>0</v>
      </c>
      <c r="AK51" s="65">
        <v>0</v>
      </c>
      <c r="AL51" s="65">
        <v>0</v>
      </c>
      <c r="AM51" s="65"/>
      <c r="AN51" s="65">
        <f t="shared" si="13"/>
        <v>16</v>
      </c>
      <c r="AO51" s="65">
        <f t="shared" si="14"/>
        <v>7720.28</v>
      </c>
      <c r="AP51" s="65">
        <f t="shared" si="15"/>
        <v>482.51749999999998</v>
      </c>
    </row>
    <row r="52" spans="1:42" s="57" customFormat="1">
      <c r="A52" s="86" t="s">
        <v>75</v>
      </c>
      <c r="B52" s="158" t="s">
        <v>209</v>
      </c>
      <c r="C52" s="161" t="s">
        <v>335</v>
      </c>
      <c r="D52" s="159"/>
      <c r="E52" s="65">
        <v>309</v>
      </c>
      <c r="F52" s="65">
        <f t="shared" si="1"/>
        <v>77732.549999999988</v>
      </c>
      <c r="G52" s="65">
        <v>15758.93</v>
      </c>
      <c r="H52" s="65">
        <v>395.38</v>
      </c>
      <c r="I52" s="65">
        <v>881.88999999999987</v>
      </c>
      <c r="J52" s="65">
        <v>59406.06</v>
      </c>
      <c r="K52" s="65">
        <v>1290.29</v>
      </c>
      <c r="L52" s="65">
        <v>0</v>
      </c>
      <c r="M52" s="65">
        <f t="shared" si="2"/>
        <v>0</v>
      </c>
      <c r="N52" s="65">
        <v>0</v>
      </c>
      <c r="O52" s="65">
        <v>0</v>
      </c>
      <c r="P52" s="65">
        <v>0</v>
      </c>
      <c r="Q52" s="65">
        <v>0</v>
      </c>
      <c r="R52" s="65">
        <v>0</v>
      </c>
      <c r="S52" s="65">
        <v>166</v>
      </c>
      <c r="T52" s="65">
        <f t="shared" si="3"/>
        <v>25603.279999999999</v>
      </c>
      <c r="U52" s="65">
        <v>5025.5599999999995</v>
      </c>
      <c r="V52" s="65">
        <v>2471.88</v>
      </c>
      <c r="W52" s="65">
        <v>1967.3999999999999</v>
      </c>
      <c r="X52" s="65">
        <v>10983</v>
      </c>
      <c r="Y52" s="65">
        <v>5155.4400000000005</v>
      </c>
      <c r="Z52" s="65">
        <f t="shared" si="4"/>
        <v>475</v>
      </c>
      <c r="AA52" s="65">
        <f t="shared" si="5"/>
        <v>103335.82999999999</v>
      </c>
      <c r="AB52" s="65">
        <f t="shared" si="6"/>
        <v>20784.489999999998</v>
      </c>
      <c r="AC52" s="65">
        <f t="shared" si="7"/>
        <v>2867.26</v>
      </c>
      <c r="AD52" s="65">
        <f t="shared" si="8"/>
        <v>2849.29</v>
      </c>
      <c r="AE52" s="65">
        <f t="shared" si="9"/>
        <v>70389.06</v>
      </c>
      <c r="AF52" s="65">
        <f t="shared" si="10"/>
        <v>6445.7300000000005</v>
      </c>
      <c r="AG52" s="65">
        <f t="shared" si="11"/>
        <v>475</v>
      </c>
      <c r="AH52" s="65">
        <f t="shared" si="12"/>
        <v>103335.82999999999</v>
      </c>
      <c r="AI52" s="65">
        <v>0</v>
      </c>
      <c r="AJ52" s="65">
        <v>0</v>
      </c>
      <c r="AK52" s="65">
        <v>0</v>
      </c>
      <c r="AL52" s="65">
        <v>0</v>
      </c>
      <c r="AM52" s="65"/>
      <c r="AN52" s="65">
        <f t="shared" si="13"/>
        <v>475</v>
      </c>
      <c r="AO52" s="65">
        <f t="shared" si="14"/>
        <v>103335.82999999999</v>
      </c>
      <c r="AP52" s="65">
        <f t="shared" si="15"/>
        <v>217.54911578947366</v>
      </c>
    </row>
    <row r="53" spans="1:42" s="57" customFormat="1">
      <c r="A53" s="86" t="s">
        <v>76</v>
      </c>
      <c r="B53" s="158" t="s">
        <v>211</v>
      </c>
      <c r="C53" s="161" t="s">
        <v>335</v>
      </c>
      <c r="D53" s="159"/>
      <c r="E53" s="65">
        <v>12</v>
      </c>
      <c r="F53" s="65">
        <f t="shared" si="1"/>
        <v>680.63</v>
      </c>
      <c r="G53" s="65">
        <v>653.84</v>
      </c>
      <c r="H53" s="65">
        <v>0</v>
      </c>
      <c r="I53" s="65">
        <v>26.79</v>
      </c>
      <c r="J53" s="65">
        <v>0</v>
      </c>
      <c r="K53" s="65">
        <v>0</v>
      </c>
      <c r="L53" s="65">
        <v>1</v>
      </c>
      <c r="M53" s="65">
        <f t="shared" si="2"/>
        <v>2744.91</v>
      </c>
      <c r="N53" s="65">
        <v>0</v>
      </c>
      <c r="O53" s="65">
        <v>0</v>
      </c>
      <c r="P53" s="65">
        <v>0</v>
      </c>
      <c r="Q53" s="65">
        <v>2744.91</v>
      </c>
      <c r="R53" s="65">
        <v>0</v>
      </c>
      <c r="S53" s="65">
        <v>64</v>
      </c>
      <c r="T53" s="65">
        <f t="shared" si="3"/>
        <v>16963.29</v>
      </c>
      <c r="U53" s="65">
        <v>4887.2900000000009</v>
      </c>
      <c r="V53" s="65">
        <v>1109.78</v>
      </c>
      <c r="W53" s="65">
        <v>6366.94</v>
      </c>
      <c r="X53" s="65">
        <v>2229.4299999999998</v>
      </c>
      <c r="Y53" s="65">
        <v>2369.85</v>
      </c>
      <c r="Z53" s="65">
        <f t="shared" si="4"/>
        <v>77</v>
      </c>
      <c r="AA53" s="65">
        <f t="shared" si="5"/>
        <v>20388.830000000002</v>
      </c>
      <c r="AB53" s="65">
        <f t="shared" si="6"/>
        <v>5541.130000000001</v>
      </c>
      <c r="AC53" s="65">
        <f t="shared" si="7"/>
        <v>1109.78</v>
      </c>
      <c r="AD53" s="65">
        <f t="shared" si="8"/>
        <v>6393.73</v>
      </c>
      <c r="AE53" s="65">
        <f t="shared" si="9"/>
        <v>4974.34</v>
      </c>
      <c r="AF53" s="65">
        <f t="shared" si="10"/>
        <v>2369.85</v>
      </c>
      <c r="AG53" s="65">
        <f t="shared" si="11"/>
        <v>77</v>
      </c>
      <c r="AH53" s="65">
        <f t="shared" si="12"/>
        <v>20388.830000000002</v>
      </c>
      <c r="AI53" s="65">
        <v>0</v>
      </c>
      <c r="AJ53" s="65">
        <v>0</v>
      </c>
      <c r="AK53" s="65">
        <v>0</v>
      </c>
      <c r="AL53" s="65">
        <v>0</v>
      </c>
      <c r="AM53" s="65"/>
      <c r="AN53" s="65">
        <f t="shared" si="13"/>
        <v>77</v>
      </c>
      <c r="AO53" s="65">
        <f t="shared" si="14"/>
        <v>20388.830000000002</v>
      </c>
      <c r="AP53" s="65">
        <f t="shared" si="15"/>
        <v>264.79000000000002</v>
      </c>
    </row>
    <row r="54" spans="1:42" s="57" customFormat="1">
      <c r="A54" s="86" t="s">
        <v>77</v>
      </c>
      <c r="B54" s="158" t="s">
        <v>212</v>
      </c>
      <c r="C54" s="161" t="s">
        <v>335</v>
      </c>
      <c r="D54" s="159"/>
      <c r="E54" s="65">
        <v>571</v>
      </c>
      <c r="F54" s="65">
        <f t="shared" si="1"/>
        <v>113577.45999999999</v>
      </c>
      <c r="G54" s="65">
        <v>40715.599999999999</v>
      </c>
      <c r="H54" s="65">
        <v>562.21</v>
      </c>
      <c r="I54" s="65">
        <v>1936.44</v>
      </c>
      <c r="J54" s="65">
        <v>66869.89</v>
      </c>
      <c r="K54" s="65">
        <v>3493.3199999999997</v>
      </c>
      <c r="L54" s="65">
        <v>3</v>
      </c>
      <c r="M54" s="65">
        <f t="shared" si="2"/>
        <v>3528.9300000000003</v>
      </c>
      <c r="N54" s="65">
        <v>1715.4</v>
      </c>
      <c r="O54" s="65">
        <v>0</v>
      </c>
      <c r="P54" s="65">
        <v>0</v>
      </c>
      <c r="Q54" s="65">
        <v>1813.53</v>
      </c>
      <c r="R54" s="65">
        <v>0</v>
      </c>
      <c r="S54" s="65">
        <v>412</v>
      </c>
      <c r="T54" s="65">
        <f t="shared" si="3"/>
        <v>90165.51999999999</v>
      </c>
      <c r="U54" s="65">
        <v>23298.32</v>
      </c>
      <c r="V54" s="65">
        <v>6423.15</v>
      </c>
      <c r="W54" s="65">
        <v>13206.56</v>
      </c>
      <c r="X54" s="65">
        <v>28011.81</v>
      </c>
      <c r="Y54" s="65">
        <v>19225.68</v>
      </c>
      <c r="Z54" s="65">
        <f t="shared" si="4"/>
        <v>986</v>
      </c>
      <c r="AA54" s="65">
        <f t="shared" si="5"/>
        <v>207271.90999999997</v>
      </c>
      <c r="AB54" s="65">
        <f t="shared" si="6"/>
        <v>65729.320000000007</v>
      </c>
      <c r="AC54" s="65">
        <f t="shared" si="7"/>
        <v>6985.36</v>
      </c>
      <c r="AD54" s="65">
        <f t="shared" si="8"/>
        <v>15143</v>
      </c>
      <c r="AE54" s="65">
        <f t="shared" si="9"/>
        <v>96695.23</v>
      </c>
      <c r="AF54" s="65">
        <f t="shared" si="10"/>
        <v>22719</v>
      </c>
      <c r="AG54" s="65">
        <f t="shared" si="11"/>
        <v>986</v>
      </c>
      <c r="AH54" s="65">
        <f t="shared" si="12"/>
        <v>207271.90999999997</v>
      </c>
      <c r="AI54" s="65">
        <v>0</v>
      </c>
      <c r="AJ54" s="65">
        <v>0</v>
      </c>
      <c r="AK54" s="65">
        <v>0</v>
      </c>
      <c r="AL54" s="65">
        <v>0</v>
      </c>
      <c r="AM54" s="65"/>
      <c r="AN54" s="65">
        <f t="shared" ref="AN54:AN117" si="26">AG54+AI54+AK54</f>
        <v>986</v>
      </c>
      <c r="AO54" s="65">
        <f t="shared" si="14"/>
        <v>207271.90999999997</v>
      </c>
      <c r="AP54" s="65">
        <f t="shared" si="15"/>
        <v>210.21491886409734</v>
      </c>
    </row>
    <row r="55" spans="1:42" s="57" customFormat="1">
      <c r="A55" s="86" t="s">
        <v>78</v>
      </c>
      <c r="B55" s="158" t="s">
        <v>211</v>
      </c>
      <c r="C55" s="161" t="s">
        <v>335</v>
      </c>
      <c r="D55" s="159"/>
      <c r="E55" s="65">
        <v>141</v>
      </c>
      <c r="F55" s="65">
        <f t="shared" si="1"/>
        <v>44313.16</v>
      </c>
      <c r="G55" s="65">
        <v>6552.95</v>
      </c>
      <c r="H55" s="65">
        <v>152.5</v>
      </c>
      <c r="I55" s="65">
        <v>2061.0899999999997</v>
      </c>
      <c r="J55" s="65">
        <v>34646.54</v>
      </c>
      <c r="K55" s="65">
        <v>900.08</v>
      </c>
      <c r="L55" s="65">
        <v>0</v>
      </c>
      <c r="M55" s="65">
        <f t="shared" si="2"/>
        <v>0</v>
      </c>
      <c r="N55" s="65">
        <v>0</v>
      </c>
      <c r="O55" s="65">
        <v>0</v>
      </c>
      <c r="P55" s="65">
        <v>0</v>
      </c>
      <c r="Q55" s="65">
        <v>0</v>
      </c>
      <c r="R55" s="65">
        <v>0</v>
      </c>
      <c r="S55" s="65">
        <v>113</v>
      </c>
      <c r="T55" s="65">
        <f t="shared" si="3"/>
        <v>41864.009999999995</v>
      </c>
      <c r="U55" s="65">
        <v>9490.09</v>
      </c>
      <c r="V55" s="65">
        <v>3557.39</v>
      </c>
      <c r="W55" s="65">
        <v>7040.3</v>
      </c>
      <c r="X55" s="65">
        <v>16375.18</v>
      </c>
      <c r="Y55" s="65">
        <v>5401.0499999999993</v>
      </c>
      <c r="Z55" s="65">
        <f t="shared" si="4"/>
        <v>254</v>
      </c>
      <c r="AA55" s="65">
        <f t="shared" si="5"/>
        <v>86177.17</v>
      </c>
      <c r="AB55" s="65">
        <f t="shared" si="6"/>
        <v>16043.04</v>
      </c>
      <c r="AC55" s="65">
        <f t="shared" si="7"/>
        <v>3709.89</v>
      </c>
      <c r="AD55" s="65">
        <f t="shared" si="8"/>
        <v>9101.39</v>
      </c>
      <c r="AE55" s="65">
        <f t="shared" si="9"/>
        <v>51021.72</v>
      </c>
      <c r="AF55" s="65">
        <f t="shared" si="10"/>
        <v>6301.1299999999992</v>
      </c>
      <c r="AG55" s="65">
        <f t="shared" si="11"/>
        <v>254</v>
      </c>
      <c r="AH55" s="65">
        <f t="shared" si="12"/>
        <v>86177.17</v>
      </c>
      <c r="AI55" s="65">
        <v>0</v>
      </c>
      <c r="AJ55" s="65">
        <v>0</v>
      </c>
      <c r="AK55" s="65">
        <v>0</v>
      </c>
      <c r="AL55" s="65">
        <v>0</v>
      </c>
      <c r="AM55" s="65"/>
      <c r="AN55" s="65">
        <f t="shared" si="26"/>
        <v>254</v>
      </c>
      <c r="AO55" s="65">
        <f t="shared" si="14"/>
        <v>86177.17</v>
      </c>
      <c r="AP55" s="65">
        <f t="shared" si="15"/>
        <v>339.28019685039368</v>
      </c>
    </row>
    <row r="56" spans="1:42" s="57" customFormat="1">
      <c r="A56" s="86" t="s">
        <v>201</v>
      </c>
      <c r="B56" s="158" t="s">
        <v>209</v>
      </c>
      <c r="C56" s="161" t="s">
        <v>335</v>
      </c>
      <c r="D56" s="159"/>
      <c r="E56" s="65">
        <v>0</v>
      </c>
      <c r="F56" s="65">
        <f t="shared" si="1"/>
        <v>0</v>
      </c>
      <c r="G56" s="65">
        <v>0</v>
      </c>
      <c r="H56" s="65">
        <v>0</v>
      </c>
      <c r="I56" s="65">
        <v>0</v>
      </c>
      <c r="J56" s="65">
        <v>0</v>
      </c>
      <c r="K56" s="65">
        <v>0</v>
      </c>
      <c r="L56" s="65">
        <v>0</v>
      </c>
      <c r="M56" s="65">
        <f t="shared" si="2"/>
        <v>0</v>
      </c>
      <c r="N56" s="65">
        <v>0</v>
      </c>
      <c r="O56" s="65">
        <v>0</v>
      </c>
      <c r="P56" s="65">
        <v>0</v>
      </c>
      <c r="Q56" s="65">
        <v>0</v>
      </c>
      <c r="R56" s="65">
        <v>0</v>
      </c>
      <c r="S56" s="65">
        <v>0</v>
      </c>
      <c r="T56" s="65">
        <f t="shared" si="3"/>
        <v>0</v>
      </c>
      <c r="U56" s="65">
        <v>0</v>
      </c>
      <c r="V56" s="65">
        <v>0</v>
      </c>
      <c r="W56" s="65">
        <v>0</v>
      </c>
      <c r="X56" s="65">
        <v>0</v>
      </c>
      <c r="Y56" s="65">
        <v>0</v>
      </c>
      <c r="Z56" s="65">
        <f t="shared" si="4"/>
        <v>0</v>
      </c>
      <c r="AA56" s="65">
        <f t="shared" si="5"/>
        <v>0</v>
      </c>
      <c r="AB56" s="65">
        <f t="shared" si="6"/>
        <v>0</v>
      </c>
      <c r="AC56" s="65">
        <f t="shared" si="7"/>
        <v>0</v>
      </c>
      <c r="AD56" s="65">
        <f t="shared" si="8"/>
        <v>0</v>
      </c>
      <c r="AE56" s="65">
        <f t="shared" si="9"/>
        <v>0</v>
      </c>
      <c r="AF56" s="65">
        <f t="shared" si="10"/>
        <v>0</v>
      </c>
      <c r="AG56" s="65">
        <f t="shared" si="11"/>
        <v>0</v>
      </c>
      <c r="AH56" s="65">
        <f t="shared" si="12"/>
        <v>0</v>
      </c>
      <c r="AI56" s="65">
        <v>0</v>
      </c>
      <c r="AJ56" s="65">
        <v>0</v>
      </c>
      <c r="AK56" s="65">
        <v>0</v>
      </c>
      <c r="AL56" s="65">
        <v>0</v>
      </c>
      <c r="AM56" s="65"/>
      <c r="AN56" s="65">
        <f t="shared" si="26"/>
        <v>0</v>
      </c>
      <c r="AO56" s="65">
        <f t="shared" si="14"/>
        <v>0</v>
      </c>
      <c r="AP56" s="65" t="e">
        <f>AO56/AN56</f>
        <v>#DIV/0!</v>
      </c>
    </row>
    <row r="57" spans="1:42" s="57" customFormat="1">
      <c r="A57" s="86" t="s">
        <v>79</v>
      </c>
      <c r="B57" s="158" t="s">
        <v>211</v>
      </c>
      <c r="C57" s="161" t="s">
        <v>336</v>
      </c>
      <c r="D57" s="160"/>
      <c r="E57" s="65">
        <v>4599</v>
      </c>
      <c r="F57" s="65">
        <f t="shared" si="1"/>
        <v>1151738.46</v>
      </c>
      <c r="G57" s="65">
        <v>93164.439999999988</v>
      </c>
      <c r="H57" s="65">
        <v>10270.199999999999</v>
      </c>
      <c r="I57" s="65">
        <v>47781.7</v>
      </c>
      <c r="J57" s="65">
        <v>979477.38</v>
      </c>
      <c r="K57" s="65">
        <v>21044.74</v>
      </c>
      <c r="L57" s="65">
        <v>12</v>
      </c>
      <c r="M57" s="65">
        <f t="shared" si="2"/>
        <v>24753.889999999996</v>
      </c>
      <c r="N57" s="65">
        <v>0</v>
      </c>
      <c r="O57" s="65">
        <v>0</v>
      </c>
      <c r="P57" s="65">
        <v>20.6</v>
      </c>
      <c r="Q57" s="65">
        <v>24733.289999999997</v>
      </c>
      <c r="R57" s="65">
        <v>0</v>
      </c>
      <c r="S57" s="65">
        <v>1189</v>
      </c>
      <c r="T57" s="65">
        <f t="shared" si="3"/>
        <v>396762.62</v>
      </c>
      <c r="U57" s="65">
        <v>58489.39</v>
      </c>
      <c r="V57" s="65">
        <v>16602.3</v>
      </c>
      <c r="W57" s="65">
        <v>102813.55</v>
      </c>
      <c r="X57" s="65">
        <v>183658.56</v>
      </c>
      <c r="Y57" s="65">
        <v>35198.82</v>
      </c>
      <c r="Z57" s="65">
        <f t="shared" si="4"/>
        <v>5800</v>
      </c>
      <c r="AA57" s="65">
        <f t="shared" si="5"/>
        <v>1573254.9699999997</v>
      </c>
      <c r="AB57" s="65">
        <f t="shared" si="6"/>
        <v>151653.82999999999</v>
      </c>
      <c r="AC57" s="65">
        <f t="shared" si="7"/>
        <v>26872.5</v>
      </c>
      <c r="AD57" s="65">
        <f t="shared" si="8"/>
        <v>150615.85</v>
      </c>
      <c r="AE57" s="65">
        <f t="shared" si="9"/>
        <v>1187869.23</v>
      </c>
      <c r="AF57" s="65">
        <f t="shared" si="10"/>
        <v>56243.56</v>
      </c>
      <c r="AG57" s="65">
        <f t="shared" si="11"/>
        <v>5800</v>
      </c>
      <c r="AH57" s="65">
        <f t="shared" si="12"/>
        <v>1573254.9699999997</v>
      </c>
      <c r="AI57" s="65">
        <v>0</v>
      </c>
      <c r="AJ57" s="65">
        <v>0</v>
      </c>
      <c r="AK57" s="65">
        <v>0</v>
      </c>
      <c r="AL57" s="65">
        <v>0</v>
      </c>
      <c r="AM57" s="65"/>
      <c r="AN57" s="65">
        <f t="shared" si="26"/>
        <v>5800</v>
      </c>
      <c r="AO57" s="65">
        <f t="shared" si="14"/>
        <v>1573254.9699999997</v>
      </c>
      <c r="AP57" s="65">
        <f t="shared" si="15"/>
        <v>271.25085689655168</v>
      </c>
    </row>
    <row r="58" spans="1:42" s="57" customFormat="1">
      <c r="A58" s="86" t="s">
        <v>80</v>
      </c>
      <c r="B58" s="158" t="s">
        <v>209</v>
      </c>
      <c r="C58" s="161" t="s">
        <v>335</v>
      </c>
      <c r="D58" s="159"/>
      <c r="E58" s="65">
        <v>20</v>
      </c>
      <c r="F58" s="65">
        <f t="shared" si="1"/>
        <v>6393.0400000000009</v>
      </c>
      <c r="G58" s="65">
        <v>642.09</v>
      </c>
      <c r="H58" s="65">
        <v>0</v>
      </c>
      <c r="I58" s="65">
        <v>26.66</v>
      </c>
      <c r="J58" s="65">
        <v>5661.4000000000005</v>
      </c>
      <c r="K58" s="65">
        <v>62.89</v>
      </c>
      <c r="L58" s="65">
        <v>0</v>
      </c>
      <c r="M58" s="65">
        <f t="shared" si="2"/>
        <v>0</v>
      </c>
      <c r="N58" s="65">
        <v>0</v>
      </c>
      <c r="O58" s="65">
        <v>0</v>
      </c>
      <c r="P58" s="65">
        <v>0</v>
      </c>
      <c r="Q58" s="65">
        <v>0</v>
      </c>
      <c r="R58" s="65">
        <v>0</v>
      </c>
      <c r="S58" s="65">
        <v>72</v>
      </c>
      <c r="T58" s="65">
        <f t="shared" si="3"/>
        <v>5662.5499999999993</v>
      </c>
      <c r="U58" s="65">
        <v>2114.83</v>
      </c>
      <c r="V58" s="65">
        <v>444.09999999999997</v>
      </c>
      <c r="W58" s="65">
        <v>744.14</v>
      </c>
      <c r="X58" s="65">
        <v>0</v>
      </c>
      <c r="Y58" s="65">
        <v>2359.48</v>
      </c>
      <c r="Z58" s="65">
        <f t="shared" si="4"/>
        <v>92</v>
      </c>
      <c r="AA58" s="65">
        <f t="shared" si="5"/>
        <v>12055.59</v>
      </c>
      <c r="AB58" s="65">
        <f t="shared" si="6"/>
        <v>2756.92</v>
      </c>
      <c r="AC58" s="65">
        <f t="shared" si="7"/>
        <v>444.09999999999997</v>
      </c>
      <c r="AD58" s="65">
        <f t="shared" si="8"/>
        <v>770.8</v>
      </c>
      <c r="AE58" s="65">
        <f t="shared" si="9"/>
        <v>5661.4000000000005</v>
      </c>
      <c r="AF58" s="65">
        <f t="shared" si="10"/>
        <v>2422.37</v>
      </c>
      <c r="AG58" s="65">
        <f t="shared" si="11"/>
        <v>92</v>
      </c>
      <c r="AH58" s="65">
        <f t="shared" si="12"/>
        <v>12055.59</v>
      </c>
      <c r="AI58" s="65">
        <v>0</v>
      </c>
      <c r="AJ58" s="65">
        <v>0</v>
      </c>
      <c r="AK58" s="65">
        <v>0</v>
      </c>
      <c r="AL58" s="65">
        <v>0</v>
      </c>
      <c r="AM58" s="65"/>
      <c r="AN58" s="65">
        <f t="shared" si="26"/>
        <v>92</v>
      </c>
      <c r="AO58" s="65">
        <f t="shared" si="14"/>
        <v>12055.59</v>
      </c>
      <c r="AP58" s="65">
        <f t="shared" si="15"/>
        <v>131.03902173913045</v>
      </c>
    </row>
    <row r="59" spans="1:42" s="57" customFormat="1">
      <c r="A59" s="132" t="s">
        <v>301</v>
      </c>
      <c r="B59" s="158" t="s">
        <v>212</v>
      </c>
      <c r="C59" s="161" t="s">
        <v>335</v>
      </c>
      <c r="D59" s="159"/>
      <c r="E59" s="65">
        <v>4</v>
      </c>
      <c r="F59" s="65">
        <f t="shared" si="1"/>
        <v>166.57</v>
      </c>
      <c r="G59" s="65">
        <v>136.87</v>
      </c>
      <c r="H59" s="65">
        <v>0</v>
      </c>
      <c r="I59" s="65">
        <v>0</v>
      </c>
      <c r="J59" s="65">
        <v>0</v>
      </c>
      <c r="K59" s="65">
        <v>29.7</v>
      </c>
      <c r="L59" s="65">
        <v>0</v>
      </c>
      <c r="M59" s="65">
        <f t="shared" si="2"/>
        <v>0</v>
      </c>
      <c r="N59" s="65">
        <v>0</v>
      </c>
      <c r="O59" s="65">
        <v>0</v>
      </c>
      <c r="P59" s="65">
        <v>0</v>
      </c>
      <c r="Q59" s="65">
        <v>0</v>
      </c>
      <c r="R59" s="65">
        <v>0</v>
      </c>
      <c r="S59" s="65">
        <v>7</v>
      </c>
      <c r="T59" s="65">
        <f t="shared" si="3"/>
        <v>826.45999999999992</v>
      </c>
      <c r="U59" s="65">
        <v>385.64</v>
      </c>
      <c r="V59" s="65">
        <v>28.58</v>
      </c>
      <c r="W59" s="65">
        <v>309.7</v>
      </c>
      <c r="X59" s="65">
        <v>0</v>
      </c>
      <c r="Y59" s="65">
        <v>102.54</v>
      </c>
      <c r="Z59" s="65">
        <f t="shared" si="4"/>
        <v>11</v>
      </c>
      <c r="AA59" s="65">
        <f t="shared" si="5"/>
        <v>993.03</v>
      </c>
      <c r="AB59" s="65">
        <f t="shared" si="6"/>
        <v>522.51</v>
      </c>
      <c r="AC59" s="65">
        <f t="shared" si="7"/>
        <v>28.58</v>
      </c>
      <c r="AD59" s="65">
        <f t="shared" si="8"/>
        <v>309.7</v>
      </c>
      <c r="AE59" s="65">
        <f t="shared" si="9"/>
        <v>0</v>
      </c>
      <c r="AF59" s="65">
        <f t="shared" si="10"/>
        <v>132.24</v>
      </c>
      <c r="AG59" s="65">
        <f t="shared" si="11"/>
        <v>11</v>
      </c>
      <c r="AH59" s="65">
        <f t="shared" si="12"/>
        <v>993.03</v>
      </c>
      <c r="AI59" s="65">
        <v>0</v>
      </c>
      <c r="AJ59" s="65">
        <v>0</v>
      </c>
      <c r="AK59" s="65">
        <v>0</v>
      </c>
      <c r="AL59" s="65">
        <v>0</v>
      </c>
      <c r="AM59" s="65"/>
      <c r="AN59" s="65">
        <f t="shared" si="26"/>
        <v>11</v>
      </c>
      <c r="AO59" s="65">
        <f t="shared" si="14"/>
        <v>993.03</v>
      </c>
      <c r="AP59" s="65">
        <f t="shared" si="15"/>
        <v>90.275454545454537</v>
      </c>
    </row>
    <row r="60" spans="1:42" s="57" customFormat="1">
      <c r="A60" s="86" t="s">
        <v>81</v>
      </c>
      <c r="B60" s="158" t="s">
        <v>209</v>
      </c>
      <c r="C60" s="161" t="s">
        <v>336</v>
      </c>
      <c r="D60" s="159" t="s">
        <v>174</v>
      </c>
      <c r="E60" s="65">
        <v>35</v>
      </c>
      <c r="F60" s="65">
        <f t="shared" si="1"/>
        <v>5353.59</v>
      </c>
      <c r="G60" s="65">
        <v>1251.31</v>
      </c>
      <c r="H60" s="65">
        <v>80.69</v>
      </c>
      <c r="I60" s="65">
        <v>96.27000000000001</v>
      </c>
      <c r="J60" s="65">
        <v>3924.53</v>
      </c>
      <c r="K60" s="65">
        <v>0.79</v>
      </c>
      <c r="L60" s="65">
        <v>0</v>
      </c>
      <c r="M60" s="65">
        <f t="shared" si="2"/>
        <v>0</v>
      </c>
      <c r="N60" s="65">
        <v>0</v>
      </c>
      <c r="O60" s="65">
        <v>0</v>
      </c>
      <c r="P60" s="65">
        <v>0</v>
      </c>
      <c r="Q60" s="65">
        <v>0</v>
      </c>
      <c r="R60" s="65">
        <v>0</v>
      </c>
      <c r="S60" s="65">
        <v>139</v>
      </c>
      <c r="T60" s="65">
        <f t="shared" si="3"/>
        <v>21820.469999999998</v>
      </c>
      <c r="U60" s="65">
        <v>7567.16</v>
      </c>
      <c r="V60" s="65">
        <v>1954.8899999999999</v>
      </c>
      <c r="W60" s="65">
        <v>3617.9</v>
      </c>
      <c r="X60" s="65">
        <v>3276.18</v>
      </c>
      <c r="Y60" s="65">
        <v>5404.3399999999992</v>
      </c>
      <c r="Z60" s="65">
        <f t="shared" si="4"/>
        <v>174</v>
      </c>
      <c r="AA60" s="65">
        <f t="shared" si="5"/>
        <v>27174.059999999998</v>
      </c>
      <c r="AB60" s="65">
        <f t="shared" si="6"/>
        <v>8818.4699999999993</v>
      </c>
      <c r="AC60" s="65">
        <f t="shared" si="7"/>
        <v>2035.58</v>
      </c>
      <c r="AD60" s="65">
        <f t="shared" si="8"/>
        <v>3714.17</v>
      </c>
      <c r="AE60" s="65">
        <f t="shared" si="9"/>
        <v>7200.71</v>
      </c>
      <c r="AF60" s="65">
        <f t="shared" si="10"/>
        <v>5405.1299999999992</v>
      </c>
      <c r="AG60" s="65">
        <f t="shared" si="11"/>
        <v>174</v>
      </c>
      <c r="AH60" s="65">
        <f t="shared" si="12"/>
        <v>27174.059999999998</v>
      </c>
      <c r="AI60" s="65">
        <v>0</v>
      </c>
      <c r="AJ60" s="65">
        <v>0</v>
      </c>
      <c r="AK60" s="65">
        <v>0</v>
      </c>
      <c r="AL60" s="65">
        <v>0</v>
      </c>
      <c r="AM60" s="65"/>
      <c r="AN60" s="65">
        <f t="shared" si="26"/>
        <v>174</v>
      </c>
      <c r="AO60" s="65">
        <f t="shared" si="14"/>
        <v>27174.059999999998</v>
      </c>
      <c r="AP60" s="65">
        <f t="shared" si="15"/>
        <v>156.17275862068965</v>
      </c>
    </row>
    <row r="61" spans="1:42" s="57" customFormat="1">
      <c r="A61" s="86" t="s">
        <v>82</v>
      </c>
      <c r="B61" s="158" t="s">
        <v>209</v>
      </c>
      <c r="C61" s="161" t="s">
        <v>335</v>
      </c>
      <c r="D61" s="159"/>
      <c r="E61" s="65">
        <v>2</v>
      </c>
      <c r="F61" s="65">
        <f t="shared" si="1"/>
        <v>263.78000000000003</v>
      </c>
      <c r="G61" s="65">
        <v>15.1</v>
      </c>
      <c r="H61" s="65">
        <v>0</v>
      </c>
      <c r="I61" s="65">
        <v>0</v>
      </c>
      <c r="J61" s="65">
        <v>248.68</v>
      </c>
      <c r="K61" s="65">
        <v>0</v>
      </c>
      <c r="L61" s="65">
        <v>0</v>
      </c>
      <c r="M61" s="65">
        <f t="shared" si="2"/>
        <v>0</v>
      </c>
      <c r="N61" s="65">
        <v>0</v>
      </c>
      <c r="O61" s="65">
        <v>0</v>
      </c>
      <c r="P61" s="65">
        <v>0</v>
      </c>
      <c r="Q61" s="65">
        <v>0</v>
      </c>
      <c r="R61" s="65">
        <v>0</v>
      </c>
      <c r="S61" s="65">
        <v>0</v>
      </c>
      <c r="T61" s="65">
        <f t="shared" si="3"/>
        <v>0</v>
      </c>
      <c r="U61" s="65">
        <v>0</v>
      </c>
      <c r="V61" s="65">
        <v>0</v>
      </c>
      <c r="W61" s="65">
        <v>0</v>
      </c>
      <c r="X61" s="65">
        <v>0</v>
      </c>
      <c r="Y61" s="65">
        <v>0</v>
      </c>
      <c r="Z61" s="65">
        <f t="shared" si="4"/>
        <v>2</v>
      </c>
      <c r="AA61" s="65">
        <f t="shared" si="5"/>
        <v>263.78000000000003</v>
      </c>
      <c r="AB61" s="65">
        <f t="shared" si="6"/>
        <v>15.1</v>
      </c>
      <c r="AC61" s="65">
        <f t="shared" si="7"/>
        <v>0</v>
      </c>
      <c r="AD61" s="65">
        <f t="shared" si="8"/>
        <v>0</v>
      </c>
      <c r="AE61" s="65">
        <f t="shared" si="9"/>
        <v>248.68</v>
      </c>
      <c r="AF61" s="65">
        <f t="shared" si="10"/>
        <v>0</v>
      </c>
      <c r="AG61" s="65">
        <f t="shared" si="11"/>
        <v>2</v>
      </c>
      <c r="AH61" s="65">
        <f t="shared" si="12"/>
        <v>263.78000000000003</v>
      </c>
      <c r="AI61" s="65">
        <v>0</v>
      </c>
      <c r="AJ61" s="65">
        <v>0</v>
      </c>
      <c r="AK61" s="65">
        <v>0</v>
      </c>
      <c r="AL61" s="65">
        <v>0</v>
      </c>
      <c r="AM61" s="65"/>
      <c r="AN61" s="65">
        <f t="shared" si="26"/>
        <v>2</v>
      </c>
      <c r="AO61" s="65">
        <f t="shared" si="14"/>
        <v>263.78000000000003</v>
      </c>
      <c r="AP61" s="65">
        <f t="shared" si="15"/>
        <v>131.89000000000001</v>
      </c>
    </row>
    <row r="62" spans="1:42" s="57" customFormat="1">
      <c r="A62" s="86" t="s">
        <v>219</v>
      </c>
      <c r="B62" s="158" t="s">
        <v>212</v>
      </c>
      <c r="C62" s="161" t="s">
        <v>335</v>
      </c>
      <c r="D62" s="159"/>
      <c r="E62" s="65">
        <v>17</v>
      </c>
      <c r="F62" s="65">
        <f t="shared" si="1"/>
        <v>1352.76</v>
      </c>
      <c r="G62" s="65">
        <v>413.06</v>
      </c>
      <c r="H62" s="65">
        <v>12.6</v>
      </c>
      <c r="I62" s="65">
        <v>0</v>
      </c>
      <c r="J62" s="65">
        <v>804.27</v>
      </c>
      <c r="K62" s="65">
        <v>122.83</v>
      </c>
      <c r="L62" s="65">
        <v>0</v>
      </c>
      <c r="M62" s="65">
        <f t="shared" si="2"/>
        <v>0</v>
      </c>
      <c r="N62" s="65">
        <v>0</v>
      </c>
      <c r="O62" s="65">
        <v>0</v>
      </c>
      <c r="P62" s="65">
        <v>0</v>
      </c>
      <c r="Q62" s="65">
        <v>0</v>
      </c>
      <c r="R62" s="65">
        <v>0</v>
      </c>
      <c r="S62" s="65">
        <v>25</v>
      </c>
      <c r="T62" s="65">
        <f t="shared" si="3"/>
        <v>2712.46</v>
      </c>
      <c r="U62" s="65">
        <v>648.54</v>
      </c>
      <c r="V62" s="65">
        <v>516.20000000000005</v>
      </c>
      <c r="W62" s="65">
        <v>192.1</v>
      </c>
      <c r="X62" s="65">
        <v>981.49</v>
      </c>
      <c r="Y62" s="65">
        <v>374.13</v>
      </c>
      <c r="Z62" s="65">
        <f t="shared" si="4"/>
        <v>42</v>
      </c>
      <c r="AA62" s="65">
        <f t="shared" si="5"/>
        <v>4065.2200000000003</v>
      </c>
      <c r="AB62" s="65">
        <f t="shared" si="6"/>
        <v>1061.5999999999999</v>
      </c>
      <c r="AC62" s="65">
        <f t="shared" si="7"/>
        <v>528.80000000000007</v>
      </c>
      <c r="AD62" s="65">
        <f t="shared" si="8"/>
        <v>192.1</v>
      </c>
      <c r="AE62" s="65">
        <f t="shared" si="9"/>
        <v>1785.76</v>
      </c>
      <c r="AF62" s="65">
        <f t="shared" si="10"/>
        <v>496.96</v>
      </c>
      <c r="AG62" s="65">
        <f t="shared" si="11"/>
        <v>42</v>
      </c>
      <c r="AH62" s="65">
        <f t="shared" si="12"/>
        <v>4065.2200000000003</v>
      </c>
      <c r="AI62" s="65">
        <v>0</v>
      </c>
      <c r="AJ62" s="65">
        <v>0</v>
      </c>
      <c r="AK62" s="65">
        <v>0</v>
      </c>
      <c r="AL62" s="65">
        <v>0</v>
      </c>
      <c r="AM62" s="65"/>
      <c r="AN62" s="65">
        <f t="shared" si="26"/>
        <v>42</v>
      </c>
      <c r="AO62" s="65">
        <f t="shared" si="14"/>
        <v>4065.2200000000003</v>
      </c>
      <c r="AP62" s="65">
        <f t="shared" si="15"/>
        <v>96.79095238095239</v>
      </c>
    </row>
    <row r="63" spans="1:42" s="57" customFormat="1">
      <c r="A63" s="86" t="s">
        <v>83</v>
      </c>
      <c r="B63" s="158" t="s">
        <v>209</v>
      </c>
      <c r="C63" s="161" t="s">
        <v>335</v>
      </c>
      <c r="D63" s="159"/>
      <c r="E63" s="65">
        <v>8</v>
      </c>
      <c r="F63" s="65">
        <f t="shared" si="1"/>
        <v>250.07999999999998</v>
      </c>
      <c r="G63" s="65">
        <v>174.92</v>
      </c>
      <c r="H63" s="65">
        <v>52.83</v>
      </c>
      <c r="I63" s="65">
        <v>22.33</v>
      </c>
      <c r="J63" s="65">
        <v>0</v>
      </c>
      <c r="K63" s="65">
        <v>0</v>
      </c>
      <c r="L63" s="65">
        <v>0</v>
      </c>
      <c r="M63" s="65">
        <f t="shared" si="2"/>
        <v>0</v>
      </c>
      <c r="N63" s="65">
        <v>0</v>
      </c>
      <c r="O63" s="65">
        <v>0</v>
      </c>
      <c r="P63" s="65">
        <v>0</v>
      </c>
      <c r="Q63" s="65">
        <v>0</v>
      </c>
      <c r="R63" s="65">
        <v>0</v>
      </c>
      <c r="S63" s="65">
        <v>45</v>
      </c>
      <c r="T63" s="65">
        <f t="shared" si="3"/>
        <v>4273.8700000000008</v>
      </c>
      <c r="U63" s="65">
        <v>1374.2</v>
      </c>
      <c r="V63" s="65">
        <v>148.91999999999999</v>
      </c>
      <c r="W63" s="65">
        <v>922.02</v>
      </c>
      <c r="X63" s="65">
        <v>526.84</v>
      </c>
      <c r="Y63" s="65">
        <v>1301.8900000000001</v>
      </c>
      <c r="Z63" s="65">
        <f t="shared" si="4"/>
        <v>53</v>
      </c>
      <c r="AA63" s="65">
        <f t="shared" si="5"/>
        <v>4523.9500000000007</v>
      </c>
      <c r="AB63" s="65">
        <f t="shared" si="6"/>
        <v>1549.1200000000001</v>
      </c>
      <c r="AC63" s="65">
        <f t="shared" si="7"/>
        <v>201.75</v>
      </c>
      <c r="AD63" s="65">
        <f t="shared" si="8"/>
        <v>944.35</v>
      </c>
      <c r="AE63" s="65">
        <f t="shared" si="9"/>
        <v>526.84</v>
      </c>
      <c r="AF63" s="65">
        <f t="shared" si="10"/>
        <v>1301.8900000000001</v>
      </c>
      <c r="AG63" s="65">
        <f t="shared" si="11"/>
        <v>53</v>
      </c>
      <c r="AH63" s="65">
        <f t="shared" si="12"/>
        <v>4523.9500000000007</v>
      </c>
      <c r="AI63" s="65">
        <v>0</v>
      </c>
      <c r="AJ63" s="65">
        <v>0</v>
      </c>
      <c r="AK63" s="65">
        <v>0</v>
      </c>
      <c r="AL63" s="65">
        <v>0</v>
      </c>
      <c r="AM63" s="65"/>
      <c r="AN63" s="65">
        <f t="shared" si="26"/>
        <v>53</v>
      </c>
      <c r="AO63" s="65">
        <f t="shared" si="14"/>
        <v>4523.9500000000007</v>
      </c>
      <c r="AP63" s="65">
        <f t="shared" si="15"/>
        <v>85.35754716981134</v>
      </c>
    </row>
    <row r="64" spans="1:42" s="57" customFormat="1">
      <c r="A64" s="132" t="s">
        <v>302</v>
      </c>
      <c r="B64" s="161" t="s">
        <v>211</v>
      </c>
      <c r="C64" s="161" t="s">
        <v>335</v>
      </c>
      <c r="D64" s="159"/>
      <c r="E64" s="65">
        <v>7</v>
      </c>
      <c r="F64" s="65">
        <f t="shared" si="1"/>
        <v>731.9</v>
      </c>
      <c r="G64" s="65">
        <v>98.87</v>
      </c>
      <c r="H64" s="65">
        <v>0</v>
      </c>
      <c r="I64" s="65">
        <v>51.1</v>
      </c>
      <c r="J64" s="65">
        <v>581.92999999999995</v>
      </c>
      <c r="K64" s="65">
        <v>0</v>
      </c>
      <c r="L64" s="65">
        <v>0</v>
      </c>
      <c r="M64" s="65">
        <f t="shared" si="2"/>
        <v>0</v>
      </c>
      <c r="N64" s="65">
        <v>0</v>
      </c>
      <c r="O64" s="65">
        <v>0</v>
      </c>
      <c r="P64" s="65">
        <v>0</v>
      </c>
      <c r="Q64" s="65">
        <v>0</v>
      </c>
      <c r="R64" s="65">
        <v>0</v>
      </c>
      <c r="S64" s="65">
        <v>0</v>
      </c>
      <c r="T64" s="65">
        <f t="shared" si="3"/>
        <v>0</v>
      </c>
      <c r="U64" s="65">
        <v>0</v>
      </c>
      <c r="V64" s="65">
        <v>0</v>
      </c>
      <c r="W64" s="65">
        <v>0</v>
      </c>
      <c r="X64" s="65">
        <v>0</v>
      </c>
      <c r="Y64" s="65">
        <v>0</v>
      </c>
      <c r="Z64" s="65">
        <f t="shared" si="4"/>
        <v>7</v>
      </c>
      <c r="AA64" s="65">
        <f t="shared" si="5"/>
        <v>731.9</v>
      </c>
      <c r="AB64" s="65">
        <f t="shared" si="6"/>
        <v>98.87</v>
      </c>
      <c r="AC64" s="65">
        <f t="shared" si="7"/>
        <v>0</v>
      </c>
      <c r="AD64" s="65">
        <f t="shared" si="8"/>
        <v>51.1</v>
      </c>
      <c r="AE64" s="65">
        <f t="shared" si="9"/>
        <v>581.92999999999995</v>
      </c>
      <c r="AF64" s="65">
        <f t="shared" si="10"/>
        <v>0</v>
      </c>
      <c r="AG64" s="65">
        <f t="shared" si="11"/>
        <v>7</v>
      </c>
      <c r="AH64" s="65">
        <f t="shared" si="12"/>
        <v>731.9</v>
      </c>
      <c r="AI64" s="65">
        <v>0</v>
      </c>
      <c r="AJ64" s="65">
        <v>0</v>
      </c>
      <c r="AK64" s="65">
        <v>0</v>
      </c>
      <c r="AL64" s="65">
        <v>0</v>
      </c>
      <c r="AM64" s="65"/>
      <c r="AN64" s="65">
        <f t="shared" si="26"/>
        <v>7</v>
      </c>
      <c r="AO64" s="65">
        <f t="shared" si="14"/>
        <v>731.9</v>
      </c>
      <c r="AP64" s="65">
        <f t="shared" si="15"/>
        <v>104.55714285714285</v>
      </c>
    </row>
    <row r="65" spans="1:42" s="57" customFormat="1">
      <c r="A65" s="86" t="s">
        <v>84</v>
      </c>
      <c r="B65" s="158" t="s">
        <v>211</v>
      </c>
      <c r="C65" s="161" t="s">
        <v>335</v>
      </c>
      <c r="D65" s="159"/>
      <c r="E65" s="65">
        <v>5</v>
      </c>
      <c r="F65" s="65">
        <f t="shared" si="1"/>
        <v>282.45</v>
      </c>
      <c r="G65" s="65">
        <v>206.91</v>
      </c>
      <c r="H65" s="65">
        <v>0</v>
      </c>
      <c r="I65" s="65">
        <v>34.239999999999995</v>
      </c>
      <c r="J65" s="65">
        <v>41.3</v>
      </c>
      <c r="K65" s="65">
        <v>0</v>
      </c>
      <c r="L65" s="65">
        <v>0</v>
      </c>
      <c r="M65" s="65">
        <f t="shared" si="2"/>
        <v>0</v>
      </c>
      <c r="N65" s="65">
        <v>0</v>
      </c>
      <c r="O65" s="65">
        <v>0</v>
      </c>
      <c r="P65" s="65">
        <v>0</v>
      </c>
      <c r="Q65" s="65">
        <v>0</v>
      </c>
      <c r="R65" s="65">
        <v>0</v>
      </c>
      <c r="S65" s="65">
        <v>0</v>
      </c>
      <c r="T65" s="65">
        <f t="shared" si="3"/>
        <v>0</v>
      </c>
      <c r="U65" s="65">
        <v>0</v>
      </c>
      <c r="V65" s="65">
        <v>0</v>
      </c>
      <c r="W65" s="65">
        <v>0</v>
      </c>
      <c r="X65" s="65">
        <v>0</v>
      </c>
      <c r="Y65" s="65">
        <v>0</v>
      </c>
      <c r="Z65" s="65">
        <f t="shared" si="4"/>
        <v>5</v>
      </c>
      <c r="AA65" s="65">
        <f t="shared" si="5"/>
        <v>282.45</v>
      </c>
      <c r="AB65" s="65">
        <f t="shared" si="6"/>
        <v>206.91</v>
      </c>
      <c r="AC65" s="65">
        <f t="shared" si="7"/>
        <v>0</v>
      </c>
      <c r="AD65" s="65">
        <f t="shared" si="8"/>
        <v>34.239999999999995</v>
      </c>
      <c r="AE65" s="65">
        <f t="shared" si="9"/>
        <v>41.3</v>
      </c>
      <c r="AF65" s="65">
        <f t="shared" si="10"/>
        <v>0</v>
      </c>
      <c r="AG65" s="65">
        <f t="shared" si="11"/>
        <v>5</v>
      </c>
      <c r="AH65" s="65">
        <f t="shared" si="12"/>
        <v>282.45</v>
      </c>
      <c r="AI65" s="65">
        <v>0</v>
      </c>
      <c r="AJ65" s="65">
        <v>0</v>
      </c>
      <c r="AK65" s="65">
        <v>0</v>
      </c>
      <c r="AL65" s="65">
        <v>0</v>
      </c>
      <c r="AM65" s="65"/>
      <c r="AN65" s="65">
        <f t="shared" si="26"/>
        <v>5</v>
      </c>
      <c r="AO65" s="65">
        <f t="shared" si="14"/>
        <v>282.45</v>
      </c>
      <c r="AP65" s="65">
        <f t="shared" si="15"/>
        <v>56.489999999999995</v>
      </c>
    </row>
    <row r="66" spans="1:42" s="57" customFormat="1">
      <c r="A66" s="86" t="s">
        <v>85</v>
      </c>
      <c r="B66" s="158" t="s">
        <v>211</v>
      </c>
      <c r="C66" s="161" t="s">
        <v>335</v>
      </c>
      <c r="D66" s="159"/>
      <c r="E66" s="65">
        <v>72</v>
      </c>
      <c r="F66" s="65">
        <f t="shared" si="1"/>
        <v>26528.01</v>
      </c>
      <c r="G66" s="65">
        <v>3237.21</v>
      </c>
      <c r="H66" s="65">
        <v>5.59</v>
      </c>
      <c r="I66" s="65">
        <v>456.14</v>
      </c>
      <c r="J66" s="65">
        <v>22662.93</v>
      </c>
      <c r="K66" s="65">
        <v>166.14</v>
      </c>
      <c r="L66" s="65">
        <v>0</v>
      </c>
      <c r="M66" s="65">
        <f t="shared" si="2"/>
        <v>0</v>
      </c>
      <c r="N66" s="65">
        <v>0</v>
      </c>
      <c r="O66" s="65">
        <v>0</v>
      </c>
      <c r="P66" s="65">
        <v>0</v>
      </c>
      <c r="Q66" s="65">
        <v>0</v>
      </c>
      <c r="R66" s="65">
        <v>0</v>
      </c>
      <c r="S66" s="65">
        <v>55</v>
      </c>
      <c r="T66" s="65">
        <f t="shared" si="3"/>
        <v>54906.8</v>
      </c>
      <c r="U66" s="65">
        <v>6331.88</v>
      </c>
      <c r="V66" s="65">
        <v>975.19</v>
      </c>
      <c r="W66" s="65">
        <v>14797.62</v>
      </c>
      <c r="X66" s="65">
        <v>29301.95</v>
      </c>
      <c r="Y66" s="65">
        <v>3500.16</v>
      </c>
      <c r="Z66" s="65">
        <f t="shared" si="4"/>
        <v>127</v>
      </c>
      <c r="AA66" s="65">
        <f t="shared" si="5"/>
        <v>81434.81</v>
      </c>
      <c r="AB66" s="65">
        <f t="shared" si="6"/>
        <v>9569.09</v>
      </c>
      <c r="AC66" s="65">
        <f t="shared" si="7"/>
        <v>980.78000000000009</v>
      </c>
      <c r="AD66" s="65">
        <f t="shared" si="8"/>
        <v>15253.76</v>
      </c>
      <c r="AE66" s="65">
        <f t="shared" si="9"/>
        <v>51964.880000000005</v>
      </c>
      <c r="AF66" s="65">
        <f t="shared" si="10"/>
        <v>3666.2999999999997</v>
      </c>
      <c r="AG66" s="65">
        <f t="shared" si="11"/>
        <v>127</v>
      </c>
      <c r="AH66" s="65">
        <f t="shared" si="12"/>
        <v>81434.81</v>
      </c>
      <c r="AI66" s="65">
        <v>0</v>
      </c>
      <c r="AJ66" s="65">
        <v>0</v>
      </c>
      <c r="AK66" s="65">
        <v>0</v>
      </c>
      <c r="AL66" s="65">
        <v>0</v>
      </c>
      <c r="AM66" s="65"/>
      <c r="AN66" s="65">
        <f t="shared" si="26"/>
        <v>127</v>
      </c>
      <c r="AO66" s="65">
        <f t="shared" si="14"/>
        <v>81434.81</v>
      </c>
      <c r="AP66" s="65">
        <f t="shared" si="15"/>
        <v>641.21897637795269</v>
      </c>
    </row>
    <row r="67" spans="1:42" s="57" customFormat="1">
      <c r="A67" s="86" t="s">
        <v>86</v>
      </c>
      <c r="B67" s="158" t="s">
        <v>210</v>
      </c>
      <c r="C67" s="161" t="s">
        <v>336</v>
      </c>
      <c r="D67" s="160"/>
      <c r="E67" s="65">
        <v>14</v>
      </c>
      <c r="F67" s="65">
        <f t="shared" si="1"/>
        <v>2571.34</v>
      </c>
      <c r="G67" s="65">
        <v>2571.34</v>
      </c>
      <c r="H67" s="65">
        <v>0</v>
      </c>
      <c r="I67" s="65">
        <v>0</v>
      </c>
      <c r="J67" s="65">
        <v>0</v>
      </c>
      <c r="K67" s="65">
        <v>0</v>
      </c>
      <c r="L67" s="65">
        <v>0</v>
      </c>
      <c r="M67" s="65">
        <f t="shared" si="2"/>
        <v>0</v>
      </c>
      <c r="N67" s="65">
        <v>0</v>
      </c>
      <c r="O67" s="65">
        <v>0</v>
      </c>
      <c r="P67" s="65">
        <v>0</v>
      </c>
      <c r="Q67" s="65">
        <v>0</v>
      </c>
      <c r="R67" s="65">
        <v>0</v>
      </c>
      <c r="S67" s="65">
        <v>0</v>
      </c>
      <c r="T67" s="65">
        <f t="shared" si="3"/>
        <v>0</v>
      </c>
      <c r="U67" s="65">
        <v>0</v>
      </c>
      <c r="V67" s="65">
        <v>0</v>
      </c>
      <c r="W67" s="65">
        <v>0</v>
      </c>
      <c r="X67" s="65">
        <v>0</v>
      </c>
      <c r="Y67" s="65">
        <v>0</v>
      </c>
      <c r="Z67" s="65">
        <f t="shared" si="4"/>
        <v>14</v>
      </c>
      <c r="AA67" s="65">
        <f t="shared" si="5"/>
        <v>2571.34</v>
      </c>
      <c r="AB67" s="65">
        <f t="shared" si="6"/>
        <v>2571.34</v>
      </c>
      <c r="AC67" s="65">
        <f t="shared" si="7"/>
        <v>0</v>
      </c>
      <c r="AD67" s="65">
        <f t="shared" si="8"/>
        <v>0</v>
      </c>
      <c r="AE67" s="65">
        <f t="shared" si="9"/>
        <v>0</v>
      </c>
      <c r="AF67" s="65">
        <f t="shared" si="10"/>
        <v>0</v>
      </c>
      <c r="AG67" s="65">
        <f t="shared" si="11"/>
        <v>14</v>
      </c>
      <c r="AH67" s="65">
        <f t="shared" si="12"/>
        <v>2571.34</v>
      </c>
      <c r="AI67" s="65">
        <v>0</v>
      </c>
      <c r="AJ67" s="65">
        <v>0</v>
      </c>
      <c r="AK67" s="65">
        <v>0</v>
      </c>
      <c r="AL67" s="65">
        <v>0</v>
      </c>
      <c r="AM67" s="65"/>
      <c r="AN67" s="65">
        <f t="shared" si="26"/>
        <v>14</v>
      </c>
      <c r="AO67" s="65">
        <f t="shared" si="14"/>
        <v>2571.34</v>
      </c>
      <c r="AP67" s="65">
        <f t="shared" si="15"/>
        <v>183.66714285714286</v>
      </c>
    </row>
    <row r="68" spans="1:42" s="57" customFormat="1">
      <c r="A68" s="86" t="s">
        <v>87</v>
      </c>
      <c r="B68" s="158" t="s">
        <v>209</v>
      </c>
      <c r="C68" s="161" t="s">
        <v>335</v>
      </c>
      <c r="D68" s="159"/>
      <c r="E68" s="65">
        <v>45</v>
      </c>
      <c r="F68" s="65">
        <f t="shared" si="1"/>
        <v>7462.01</v>
      </c>
      <c r="G68" s="65">
        <v>1396.96</v>
      </c>
      <c r="H68" s="65">
        <v>0</v>
      </c>
      <c r="I68" s="65">
        <v>170.22</v>
      </c>
      <c r="J68" s="65">
        <v>5851.04</v>
      </c>
      <c r="K68" s="65">
        <v>43.79</v>
      </c>
      <c r="L68" s="65">
        <v>3</v>
      </c>
      <c r="M68" s="65">
        <f t="shared" si="2"/>
        <v>13538.99</v>
      </c>
      <c r="N68" s="65">
        <v>0</v>
      </c>
      <c r="O68" s="65">
        <v>0</v>
      </c>
      <c r="P68" s="65">
        <v>0</v>
      </c>
      <c r="Q68" s="65">
        <v>13538.99</v>
      </c>
      <c r="R68" s="65">
        <v>0</v>
      </c>
      <c r="S68" s="65">
        <v>64</v>
      </c>
      <c r="T68" s="65">
        <f t="shared" si="3"/>
        <v>9156.1</v>
      </c>
      <c r="U68" s="65">
        <v>1937.87</v>
      </c>
      <c r="V68" s="65">
        <v>172.36</v>
      </c>
      <c r="W68" s="65">
        <v>1107.3499999999999</v>
      </c>
      <c r="X68" s="65">
        <v>5340.27</v>
      </c>
      <c r="Y68" s="65">
        <v>598.25</v>
      </c>
      <c r="Z68" s="65">
        <f t="shared" si="4"/>
        <v>112</v>
      </c>
      <c r="AA68" s="65">
        <f t="shared" si="5"/>
        <v>30157.1</v>
      </c>
      <c r="AB68" s="65">
        <f t="shared" si="6"/>
        <v>3334.83</v>
      </c>
      <c r="AC68" s="65">
        <f t="shared" si="7"/>
        <v>172.36</v>
      </c>
      <c r="AD68" s="65">
        <f t="shared" si="8"/>
        <v>1277.57</v>
      </c>
      <c r="AE68" s="65">
        <f t="shared" si="9"/>
        <v>24730.3</v>
      </c>
      <c r="AF68" s="65">
        <f t="shared" si="10"/>
        <v>642.04</v>
      </c>
      <c r="AG68" s="65">
        <f t="shared" si="11"/>
        <v>112</v>
      </c>
      <c r="AH68" s="65">
        <f t="shared" si="12"/>
        <v>30157.1</v>
      </c>
      <c r="AI68" s="65">
        <v>0</v>
      </c>
      <c r="AJ68" s="65">
        <v>0</v>
      </c>
      <c r="AK68" s="65">
        <v>0</v>
      </c>
      <c r="AL68" s="65">
        <v>0</v>
      </c>
      <c r="AM68" s="65"/>
      <c r="AN68" s="65">
        <f t="shared" si="26"/>
        <v>112</v>
      </c>
      <c r="AO68" s="65">
        <f t="shared" si="14"/>
        <v>30157.1</v>
      </c>
      <c r="AP68" s="65">
        <f t="shared" si="15"/>
        <v>269.2598214285714</v>
      </c>
    </row>
    <row r="69" spans="1:42" s="57" customFormat="1">
      <c r="A69" s="66" t="s">
        <v>88</v>
      </c>
      <c r="B69" s="158" t="s">
        <v>209</v>
      </c>
      <c r="C69" s="161" t="s">
        <v>335</v>
      </c>
      <c r="D69" s="159"/>
      <c r="E69" s="65">
        <v>0</v>
      </c>
      <c r="F69" s="65">
        <f t="shared" si="1"/>
        <v>0</v>
      </c>
      <c r="G69" s="65">
        <v>0</v>
      </c>
      <c r="H69" s="65">
        <v>0</v>
      </c>
      <c r="I69" s="65">
        <v>0</v>
      </c>
      <c r="J69" s="65">
        <v>0</v>
      </c>
      <c r="K69" s="65">
        <v>0</v>
      </c>
      <c r="L69" s="65">
        <v>0</v>
      </c>
      <c r="M69" s="65">
        <f t="shared" si="2"/>
        <v>0</v>
      </c>
      <c r="N69" s="65">
        <v>0</v>
      </c>
      <c r="O69" s="65">
        <v>0</v>
      </c>
      <c r="P69" s="65">
        <v>0</v>
      </c>
      <c r="Q69" s="65">
        <v>0</v>
      </c>
      <c r="R69" s="65">
        <v>0</v>
      </c>
      <c r="S69" s="65">
        <v>0</v>
      </c>
      <c r="T69" s="65">
        <f t="shared" si="3"/>
        <v>0</v>
      </c>
      <c r="U69" s="65">
        <v>0</v>
      </c>
      <c r="V69" s="65">
        <v>0</v>
      </c>
      <c r="W69" s="65">
        <v>0</v>
      </c>
      <c r="X69" s="65">
        <v>0</v>
      </c>
      <c r="Y69" s="65">
        <v>0</v>
      </c>
      <c r="Z69" s="65">
        <f t="shared" si="4"/>
        <v>0</v>
      </c>
      <c r="AA69" s="65">
        <f t="shared" si="5"/>
        <v>0</v>
      </c>
      <c r="AB69" s="65">
        <f t="shared" si="6"/>
        <v>0</v>
      </c>
      <c r="AC69" s="65">
        <f t="shared" si="7"/>
        <v>0</v>
      </c>
      <c r="AD69" s="65">
        <f t="shared" si="8"/>
        <v>0</v>
      </c>
      <c r="AE69" s="65">
        <f t="shared" si="9"/>
        <v>0</v>
      </c>
      <c r="AF69" s="65">
        <f t="shared" si="10"/>
        <v>0</v>
      </c>
      <c r="AG69" s="65">
        <f t="shared" si="11"/>
        <v>0</v>
      </c>
      <c r="AH69" s="65">
        <f t="shared" si="12"/>
        <v>0</v>
      </c>
      <c r="AI69" s="65">
        <v>0</v>
      </c>
      <c r="AJ69" s="65">
        <v>0</v>
      </c>
      <c r="AK69" s="65">
        <v>0</v>
      </c>
      <c r="AL69" s="65">
        <v>0</v>
      </c>
      <c r="AM69" s="65"/>
      <c r="AN69" s="65">
        <f t="shared" si="26"/>
        <v>0</v>
      </c>
      <c r="AO69" s="65">
        <f t="shared" si="14"/>
        <v>0</v>
      </c>
      <c r="AP69" s="65" t="e">
        <f t="shared" si="15"/>
        <v>#DIV/0!</v>
      </c>
    </row>
    <row r="70" spans="1:42" s="57" customFormat="1">
      <c r="A70" s="86" t="s">
        <v>260</v>
      </c>
      <c r="B70" s="158" t="s">
        <v>209</v>
      </c>
      <c r="C70" s="161" t="s">
        <v>335</v>
      </c>
      <c r="D70" s="159"/>
      <c r="E70" s="65">
        <v>0</v>
      </c>
      <c r="F70" s="65">
        <f t="shared" si="1"/>
        <v>0</v>
      </c>
      <c r="G70" s="65">
        <v>0</v>
      </c>
      <c r="H70" s="65">
        <v>0</v>
      </c>
      <c r="I70" s="65">
        <v>0</v>
      </c>
      <c r="J70" s="65">
        <v>0</v>
      </c>
      <c r="K70" s="65">
        <v>0</v>
      </c>
      <c r="L70" s="65">
        <v>0</v>
      </c>
      <c r="M70" s="65">
        <f t="shared" si="2"/>
        <v>0</v>
      </c>
      <c r="N70" s="65">
        <v>0</v>
      </c>
      <c r="O70" s="65">
        <v>0</v>
      </c>
      <c r="P70" s="65">
        <v>0</v>
      </c>
      <c r="Q70" s="65">
        <v>0</v>
      </c>
      <c r="R70" s="65">
        <v>0</v>
      </c>
      <c r="S70" s="65">
        <v>17</v>
      </c>
      <c r="T70" s="65">
        <f t="shared" si="3"/>
        <v>1533.7199999999998</v>
      </c>
      <c r="U70" s="65">
        <v>710.76</v>
      </c>
      <c r="V70" s="65">
        <v>52.02</v>
      </c>
      <c r="W70" s="65">
        <v>321.89999999999998</v>
      </c>
      <c r="X70" s="65">
        <v>304.89999999999998</v>
      </c>
      <c r="Y70" s="65">
        <v>144.13999999999999</v>
      </c>
      <c r="Z70" s="65">
        <f t="shared" si="4"/>
        <v>17</v>
      </c>
      <c r="AA70" s="65">
        <f t="shared" si="5"/>
        <v>1533.7199999999998</v>
      </c>
      <c r="AB70" s="65">
        <f t="shared" si="6"/>
        <v>710.76</v>
      </c>
      <c r="AC70" s="65">
        <f t="shared" si="7"/>
        <v>52.02</v>
      </c>
      <c r="AD70" s="65">
        <f t="shared" si="8"/>
        <v>321.89999999999998</v>
      </c>
      <c r="AE70" s="65">
        <f t="shared" si="9"/>
        <v>304.89999999999998</v>
      </c>
      <c r="AF70" s="65">
        <f t="shared" si="10"/>
        <v>144.13999999999999</v>
      </c>
      <c r="AG70" s="65">
        <f t="shared" si="11"/>
        <v>17</v>
      </c>
      <c r="AH70" s="65">
        <f t="shared" si="12"/>
        <v>1533.7199999999998</v>
      </c>
      <c r="AI70" s="65">
        <v>0</v>
      </c>
      <c r="AJ70" s="65">
        <v>0</v>
      </c>
      <c r="AK70" s="65">
        <v>0</v>
      </c>
      <c r="AL70" s="65">
        <v>0</v>
      </c>
      <c r="AM70" s="65"/>
      <c r="AN70" s="65">
        <f t="shared" si="26"/>
        <v>17</v>
      </c>
      <c r="AO70" s="65">
        <f t="shared" si="14"/>
        <v>1533.7199999999998</v>
      </c>
      <c r="AP70" s="65">
        <f t="shared" si="15"/>
        <v>90.21882352941175</v>
      </c>
    </row>
    <row r="71" spans="1:42" s="57" customFormat="1">
      <c r="A71" s="86" t="s">
        <v>215</v>
      </c>
      <c r="B71" s="158" t="s">
        <v>211</v>
      </c>
      <c r="C71" s="161" t="s">
        <v>335</v>
      </c>
      <c r="D71" s="159"/>
      <c r="E71" s="65">
        <v>0</v>
      </c>
      <c r="F71" s="65">
        <f t="shared" si="1"/>
        <v>0</v>
      </c>
      <c r="G71" s="65">
        <v>0</v>
      </c>
      <c r="H71" s="65">
        <v>0</v>
      </c>
      <c r="I71" s="65">
        <v>0</v>
      </c>
      <c r="J71" s="65">
        <v>0</v>
      </c>
      <c r="K71" s="65">
        <v>0</v>
      </c>
      <c r="L71" s="65">
        <v>0</v>
      </c>
      <c r="M71" s="65">
        <f t="shared" si="2"/>
        <v>0</v>
      </c>
      <c r="N71" s="65">
        <v>0</v>
      </c>
      <c r="O71" s="65">
        <v>0</v>
      </c>
      <c r="P71" s="65">
        <v>0</v>
      </c>
      <c r="Q71" s="65">
        <v>0</v>
      </c>
      <c r="R71" s="65">
        <v>0</v>
      </c>
      <c r="S71" s="65">
        <v>0</v>
      </c>
      <c r="T71" s="65">
        <f t="shared" si="3"/>
        <v>0</v>
      </c>
      <c r="U71" s="65">
        <v>0</v>
      </c>
      <c r="V71" s="65">
        <v>0</v>
      </c>
      <c r="W71" s="65">
        <v>0</v>
      </c>
      <c r="X71" s="65">
        <v>0</v>
      </c>
      <c r="Y71" s="65">
        <v>0</v>
      </c>
      <c r="Z71" s="65">
        <f t="shared" si="4"/>
        <v>0</v>
      </c>
      <c r="AA71" s="65">
        <f t="shared" si="5"/>
        <v>0</v>
      </c>
      <c r="AB71" s="65">
        <f t="shared" si="6"/>
        <v>0</v>
      </c>
      <c r="AC71" s="65">
        <f t="shared" si="7"/>
        <v>0</v>
      </c>
      <c r="AD71" s="65">
        <f t="shared" si="8"/>
        <v>0</v>
      </c>
      <c r="AE71" s="65">
        <f t="shared" si="9"/>
        <v>0</v>
      </c>
      <c r="AF71" s="65">
        <f t="shared" si="10"/>
        <v>0</v>
      </c>
      <c r="AG71" s="65">
        <f t="shared" si="11"/>
        <v>0</v>
      </c>
      <c r="AH71" s="65">
        <f t="shared" si="12"/>
        <v>0</v>
      </c>
      <c r="AI71" s="65">
        <v>0</v>
      </c>
      <c r="AJ71" s="65">
        <v>0</v>
      </c>
      <c r="AK71" s="65">
        <v>0</v>
      </c>
      <c r="AL71" s="65">
        <v>0</v>
      </c>
      <c r="AM71" s="65"/>
      <c r="AN71" s="65">
        <f t="shared" si="26"/>
        <v>0</v>
      </c>
      <c r="AO71" s="65">
        <f t="shared" si="14"/>
        <v>0</v>
      </c>
      <c r="AP71" s="65" t="e">
        <f t="shared" si="15"/>
        <v>#DIV/0!</v>
      </c>
    </row>
    <row r="72" spans="1:42" s="57" customFormat="1">
      <c r="A72" s="86" t="s">
        <v>165</v>
      </c>
      <c r="B72" s="158" t="s">
        <v>211</v>
      </c>
      <c r="C72" s="161" t="s">
        <v>335</v>
      </c>
      <c r="D72" s="159"/>
      <c r="E72" s="65">
        <v>32</v>
      </c>
      <c r="F72" s="65">
        <f t="shared" si="1"/>
        <v>8967.8299999999981</v>
      </c>
      <c r="G72" s="65">
        <v>1334.3899999999999</v>
      </c>
      <c r="H72" s="65">
        <v>0</v>
      </c>
      <c r="I72" s="65">
        <v>28.07</v>
      </c>
      <c r="J72" s="65">
        <v>7600.82</v>
      </c>
      <c r="K72" s="65">
        <v>4.55</v>
      </c>
      <c r="L72" s="65">
        <v>2</v>
      </c>
      <c r="M72" s="65">
        <f t="shared" si="2"/>
        <v>1451</v>
      </c>
      <c r="N72" s="65">
        <v>0</v>
      </c>
      <c r="O72" s="65">
        <v>0</v>
      </c>
      <c r="P72" s="65">
        <v>0</v>
      </c>
      <c r="Q72" s="65">
        <v>1451</v>
      </c>
      <c r="R72" s="65">
        <v>0</v>
      </c>
      <c r="S72" s="65">
        <v>29</v>
      </c>
      <c r="T72" s="65">
        <f t="shared" si="3"/>
        <v>6863.9</v>
      </c>
      <c r="U72" s="65">
        <v>1215.27</v>
      </c>
      <c r="V72" s="65">
        <v>295.69</v>
      </c>
      <c r="W72" s="65">
        <v>405.47</v>
      </c>
      <c r="X72" s="65">
        <v>3854.7999999999997</v>
      </c>
      <c r="Y72" s="65">
        <v>1092.6699999999998</v>
      </c>
      <c r="Z72" s="65">
        <f t="shared" si="4"/>
        <v>63</v>
      </c>
      <c r="AA72" s="65">
        <f t="shared" si="5"/>
        <v>17282.729999999996</v>
      </c>
      <c r="AB72" s="65">
        <f t="shared" si="6"/>
        <v>2549.66</v>
      </c>
      <c r="AC72" s="65">
        <f t="shared" si="7"/>
        <v>295.69</v>
      </c>
      <c r="AD72" s="65">
        <f t="shared" si="8"/>
        <v>433.54</v>
      </c>
      <c r="AE72" s="65">
        <f t="shared" si="9"/>
        <v>12906.619999999999</v>
      </c>
      <c r="AF72" s="65">
        <f t="shared" si="10"/>
        <v>1097.2199999999998</v>
      </c>
      <c r="AG72" s="65">
        <f t="shared" si="11"/>
        <v>63</v>
      </c>
      <c r="AH72" s="65">
        <f t="shared" si="12"/>
        <v>17282.729999999996</v>
      </c>
      <c r="AI72" s="65">
        <v>0</v>
      </c>
      <c r="AJ72" s="65">
        <v>0</v>
      </c>
      <c r="AK72" s="65">
        <v>0</v>
      </c>
      <c r="AL72" s="65">
        <v>0</v>
      </c>
      <c r="AM72" s="65"/>
      <c r="AN72" s="65">
        <f t="shared" si="26"/>
        <v>63</v>
      </c>
      <c r="AO72" s="65">
        <f t="shared" ref="AO72:AO135" si="27">AH72+AJ72+AL72</f>
        <v>17282.729999999996</v>
      </c>
      <c r="AP72" s="65">
        <f t="shared" si="15"/>
        <v>274.32904761904757</v>
      </c>
    </row>
    <row r="73" spans="1:42" s="57" customFormat="1">
      <c r="A73" s="86" t="s">
        <v>89</v>
      </c>
      <c r="B73" s="158" t="s">
        <v>211</v>
      </c>
      <c r="C73" s="161" t="s">
        <v>335</v>
      </c>
      <c r="D73" s="159"/>
      <c r="E73" s="65">
        <v>16</v>
      </c>
      <c r="F73" s="65">
        <f t="shared" si="1"/>
        <v>4715.63</v>
      </c>
      <c r="G73" s="65">
        <v>884.31</v>
      </c>
      <c r="H73" s="65">
        <v>0</v>
      </c>
      <c r="I73" s="65">
        <v>174.48999999999998</v>
      </c>
      <c r="J73" s="65">
        <v>3641.9300000000003</v>
      </c>
      <c r="K73" s="65">
        <v>14.9</v>
      </c>
      <c r="L73" s="65">
        <v>0</v>
      </c>
      <c r="M73" s="65">
        <f t="shared" si="2"/>
        <v>0</v>
      </c>
      <c r="N73" s="65">
        <v>0</v>
      </c>
      <c r="O73" s="65">
        <v>0</v>
      </c>
      <c r="P73" s="65">
        <v>0</v>
      </c>
      <c r="Q73" s="65">
        <v>0</v>
      </c>
      <c r="R73" s="65">
        <v>0</v>
      </c>
      <c r="S73" s="65">
        <v>30</v>
      </c>
      <c r="T73" s="65">
        <f t="shared" si="3"/>
        <v>18978.95</v>
      </c>
      <c r="U73" s="65">
        <v>2880.31</v>
      </c>
      <c r="V73" s="65">
        <v>1271.9100000000001</v>
      </c>
      <c r="W73" s="65">
        <v>8030.78</v>
      </c>
      <c r="X73" s="65">
        <v>3914.84</v>
      </c>
      <c r="Y73" s="65">
        <v>2881.11</v>
      </c>
      <c r="Z73" s="65">
        <f t="shared" si="4"/>
        <v>46</v>
      </c>
      <c r="AA73" s="65">
        <f t="shared" si="5"/>
        <v>23694.58</v>
      </c>
      <c r="AB73" s="65">
        <f t="shared" si="6"/>
        <v>3764.62</v>
      </c>
      <c r="AC73" s="65">
        <f t="shared" si="7"/>
        <v>1271.9100000000001</v>
      </c>
      <c r="AD73" s="65">
        <f t="shared" si="8"/>
        <v>8205.27</v>
      </c>
      <c r="AE73" s="65">
        <f t="shared" si="9"/>
        <v>7556.77</v>
      </c>
      <c r="AF73" s="65">
        <f t="shared" si="10"/>
        <v>2896.01</v>
      </c>
      <c r="AG73" s="65">
        <f t="shared" si="11"/>
        <v>46</v>
      </c>
      <c r="AH73" s="65">
        <f t="shared" si="12"/>
        <v>23694.58</v>
      </c>
      <c r="AI73" s="65">
        <v>0</v>
      </c>
      <c r="AJ73" s="65">
        <v>0</v>
      </c>
      <c r="AK73" s="65">
        <v>0</v>
      </c>
      <c r="AL73" s="65">
        <v>0</v>
      </c>
      <c r="AM73" s="65"/>
      <c r="AN73" s="65">
        <f t="shared" si="26"/>
        <v>46</v>
      </c>
      <c r="AO73" s="65">
        <f t="shared" si="27"/>
        <v>23694.58</v>
      </c>
      <c r="AP73" s="65">
        <f t="shared" si="15"/>
        <v>515.09956521739139</v>
      </c>
    </row>
    <row r="74" spans="1:42" s="57" customFormat="1">
      <c r="A74" s="86" t="s">
        <v>90</v>
      </c>
      <c r="B74" s="158" t="s">
        <v>212</v>
      </c>
      <c r="C74" s="161" t="s">
        <v>336</v>
      </c>
      <c r="D74" s="160"/>
      <c r="E74" s="65">
        <v>624</v>
      </c>
      <c r="F74" s="65">
        <f t="shared" ref="F74:F137" si="28">SUM(G74:K74)</f>
        <v>204307.86</v>
      </c>
      <c r="G74" s="65">
        <v>13694.630000000001</v>
      </c>
      <c r="H74" s="65">
        <v>1027.6200000000001</v>
      </c>
      <c r="I74" s="65">
        <v>1313.9099999999999</v>
      </c>
      <c r="J74" s="65">
        <v>182962.59</v>
      </c>
      <c r="K74" s="65">
        <v>5309.1100000000006</v>
      </c>
      <c r="L74" s="65">
        <v>23</v>
      </c>
      <c r="M74" s="65">
        <f t="shared" ref="M74:M137" si="29">SUM(N74:R74)</f>
        <v>27388.54</v>
      </c>
      <c r="N74" s="65">
        <v>15.72</v>
      </c>
      <c r="O74" s="65">
        <v>0</v>
      </c>
      <c r="P74" s="65">
        <v>0</v>
      </c>
      <c r="Q74" s="65">
        <v>27372.82</v>
      </c>
      <c r="R74" s="65">
        <v>0</v>
      </c>
      <c r="S74" s="65">
        <v>185</v>
      </c>
      <c r="T74" s="65">
        <f t="shared" ref="T74:T137" si="30">SUM(U74:Y74)</f>
        <v>36930.29</v>
      </c>
      <c r="U74" s="65">
        <v>5843.6</v>
      </c>
      <c r="V74" s="65">
        <v>4339.93</v>
      </c>
      <c r="W74" s="65">
        <v>6515.05</v>
      </c>
      <c r="X74" s="65">
        <v>10172.08</v>
      </c>
      <c r="Y74" s="65">
        <v>10059.629999999999</v>
      </c>
      <c r="Z74" s="65">
        <f t="shared" ref="Z74:Z137" si="31">E74+L74+S74</f>
        <v>832</v>
      </c>
      <c r="AA74" s="65">
        <f t="shared" ref="AA74:AA137" si="32">F74+M74+T74</f>
        <v>268626.69</v>
      </c>
      <c r="AB74" s="65">
        <f t="shared" ref="AB74:AB137" si="33">G74+N74+U74</f>
        <v>19553.95</v>
      </c>
      <c r="AC74" s="65">
        <f t="shared" ref="AC74:AC137" si="34">H74+O74+V74</f>
        <v>5367.55</v>
      </c>
      <c r="AD74" s="65">
        <f t="shared" ref="AD74:AD137" si="35">I74+P74+W74</f>
        <v>7828.96</v>
      </c>
      <c r="AE74" s="65">
        <f t="shared" ref="AE74:AE137" si="36">J74+Q74+X74</f>
        <v>220507.49</v>
      </c>
      <c r="AF74" s="65">
        <f t="shared" ref="AF74:AF137" si="37">K74+R74+Y74</f>
        <v>15368.74</v>
      </c>
      <c r="AG74" s="65">
        <f t="shared" ref="AG74:AG137" si="38">Z74</f>
        <v>832</v>
      </c>
      <c r="AH74" s="65">
        <f t="shared" ref="AH74:AH137" si="39">AA74</f>
        <v>268626.69</v>
      </c>
      <c r="AI74" s="65">
        <v>0</v>
      </c>
      <c r="AJ74" s="65">
        <v>0</v>
      </c>
      <c r="AK74" s="65">
        <v>0</v>
      </c>
      <c r="AL74" s="65">
        <v>0</v>
      </c>
      <c r="AM74" s="65"/>
      <c r="AN74" s="65">
        <f t="shared" si="26"/>
        <v>832</v>
      </c>
      <c r="AO74" s="65">
        <f t="shared" si="27"/>
        <v>268626.69</v>
      </c>
      <c r="AP74" s="65">
        <f t="shared" ref="AP74:AP137" si="40">AO74/AN74</f>
        <v>322.86861778846156</v>
      </c>
    </row>
    <row r="75" spans="1:42" s="57" customFormat="1">
      <c r="A75" s="86" t="s">
        <v>91</v>
      </c>
      <c r="B75" s="158" t="s">
        <v>212</v>
      </c>
      <c r="C75" s="161" t="s">
        <v>335</v>
      </c>
      <c r="D75" s="159"/>
      <c r="E75" s="65">
        <v>1538</v>
      </c>
      <c r="F75" s="65">
        <f t="shared" si="28"/>
        <v>355208.88</v>
      </c>
      <c r="G75" s="65">
        <v>59713.56</v>
      </c>
      <c r="H75" s="65">
        <v>356.02</v>
      </c>
      <c r="I75" s="65">
        <v>7480.41</v>
      </c>
      <c r="J75" s="65">
        <v>257358.42</v>
      </c>
      <c r="K75" s="65">
        <v>30300.469999999998</v>
      </c>
      <c r="L75" s="65">
        <v>1</v>
      </c>
      <c r="M75" s="65">
        <f t="shared" si="29"/>
        <v>1235.22</v>
      </c>
      <c r="N75" s="65">
        <v>0</v>
      </c>
      <c r="O75" s="65">
        <v>0</v>
      </c>
      <c r="P75" s="65">
        <v>0</v>
      </c>
      <c r="Q75" s="65">
        <v>1235.22</v>
      </c>
      <c r="R75" s="65">
        <v>0</v>
      </c>
      <c r="S75" s="65">
        <v>182</v>
      </c>
      <c r="T75" s="65">
        <f t="shared" si="30"/>
        <v>72359.98000000001</v>
      </c>
      <c r="U75" s="65">
        <v>9222.15</v>
      </c>
      <c r="V75" s="65">
        <v>3475.33</v>
      </c>
      <c r="W75" s="65">
        <v>8127.38</v>
      </c>
      <c r="X75" s="65">
        <v>46298.780000000006</v>
      </c>
      <c r="Y75" s="65">
        <v>5236.34</v>
      </c>
      <c r="Z75" s="65">
        <f t="shared" si="31"/>
        <v>1721</v>
      </c>
      <c r="AA75" s="65">
        <f t="shared" si="32"/>
        <v>428804.07999999996</v>
      </c>
      <c r="AB75" s="65">
        <f t="shared" si="33"/>
        <v>68935.709999999992</v>
      </c>
      <c r="AC75" s="65">
        <f t="shared" si="34"/>
        <v>3831.35</v>
      </c>
      <c r="AD75" s="65">
        <f t="shared" si="35"/>
        <v>15607.79</v>
      </c>
      <c r="AE75" s="65">
        <f t="shared" si="36"/>
        <v>304892.42000000004</v>
      </c>
      <c r="AF75" s="65">
        <f t="shared" si="37"/>
        <v>35536.81</v>
      </c>
      <c r="AG75" s="65">
        <f t="shared" si="38"/>
        <v>1721</v>
      </c>
      <c r="AH75" s="65">
        <f t="shared" si="39"/>
        <v>428804.07999999996</v>
      </c>
      <c r="AI75" s="65">
        <v>0</v>
      </c>
      <c r="AJ75" s="65">
        <v>0</v>
      </c>
      <c r="AK75" s="65">
        <v>0</v>
      </c>
      <c r="AL75" s="65">
        <v>0</v>
      </c>
      <c r="AM75" s="65"/>
      <c r="AN75" s="65">
        <f t="shared" si="26"/>
        <v>1721</v>
      </c>
      <c r="AO75" s="65">
        <f t="shared" si="27"/>
        <v>428804.07999999996</v>
      </c>
      <c r="AP75" s="65">
        <f t="shared" si="40"/>
        <v>249.15983730389306</v>
      </c>
    </row>
    <row r="76" spans="1:42" s="57" customFormat="1">
      <c r="A76" s="86" t="s">
        <v>93</v>
      </c>
      <c r="B76" s="158" t="s">
        <v>212</v>
      </c>
      <c r="C76" s="161" t="s">
        <v>335</v>
      </c>
      <c r="D76" s="159"/>
      <c r="E76" s="65">
        <v>0</v>
      </c>
      <c r="F76" s="65">
        <f t="shared" si="28"/>
        <v>0</v>
      </c>
      <c r="G76" s="65">
        <v>0</v>
      </c>
      <c r="H76" s="65">
        <v>0</v>
      </c>
      <c r="I76" s="65">
        <v>0</v>
      </c>
      <c r="J76" s="65">
        <v>0</v>
      </c>
      <c r="K76" s="65">
        <v>0</v>
      </c>
      <c r="L76" s="65">
        <v>0</v>
      </c>
      <c r="M76" s="65">
        <f t="shared" si="29"/>
        <v>0</v>
      </c>
      <c r="N76" s="65">
        <v>0</v>
      </c>
      <c r="O76" s="65">
        <v>0</v>
      </c>
      <c r="P76" s="65">
        <v>0</v>
      </c>
      <c r="Q76" s="65">
        <v>0</v>
      </c>
      <c r="R76" s="65">
        <v>0</v>
      </c>
      <c r="S76" s="65">
        <v>4</v>
      </c>
      <c r="T76" s="65">
        <f t="shared" si="30"/>
        <v>265.72000000000003</v>
      </c>
      <c r="U76" s="65">
        <v>127.72</v>
      </c>
      <c r="V76" s="65">
        <v>0</v>
      </c>
      <c r="W76" s="65">
        <v>39.99</v>
      </c>
      <c r="X76" s="65">
        <v>0</v>
      </c>
      <c r="Y76" s="65">
        <v>98.01</v>
      </c>
      <c r="Z76" s="65">
        <f t="shared" si="31"/>
        <v>4</v>
      </c>
      <c r="AA76" s="65">
        <f t="shared" si="32"/>
        <v>265.72000000000003</v>
      </c>
      <c r="AB76" s="65">
        <f t="shared" si="33"/>
        <v>127.72</v>
      </c>
      <c r="AC76" s="65">
        <f t="shared" si="34"/>
        <v>0</v>
      </c>
      <c r="AD76" s="65">
        <f t="shared" si="35"/>
        <v>39.99</v>
      </c>
      <c r="AE76" s="65">
        <f t="shared" si="36"/>
        <v>0</v>
      </c>
      <c r="AF76" s="65">
        <f t="shared" si="37"/>
        <v>98.01</v>
      </c>
      <c r="AG76" s="65">
        <f t="shared" si="38"/>
        <v>4</v>
      </c>
      <c r="AH76" s="65">
        <f t="shared" si="39"/>
        <v>265.72000000000003</v>
      </c>
      <c r="AI76" s="65">
        <v>0</v>
      </c>
      <c r="AJ76" s="65">
        <v>0</v>
      </c>
      <c r="AK76" s="65">
        <v>0</v>
      </c>
      <c r="AL76" s="65">
        <v>0</v>
      </c>
      <c r="AM76" s="65"/>
      <c r="AN76" s="65">
        <f t="shared" si="26"/>
        <v>4</v>
      </c>
      <c r="AO76" s="65">
        <f t="shared" si="27"/>
        <v>265.72000000000003</v>
      </c>
      <c r="AP76" s="65">
        <f t="shared" si="40"/>
        <v>66.430000000000007</v>
      </c>
    </row>
    <row r="77" spans="1:42" s="57" customFormat="1">
      <c r="A77" s="86" t="s">
        <v>92</v>
      </c>
      <c r="B77" s="158" t="s">
        <v>212</v>
      </c>
      <c r="C77" s="161" t="s">
        <v>335</v>
      </c>
      <c r="D77" s="159"/>
      <c r="E77" s="65">
        <v>49</v>
      </c>
      <c r="F77" s="65">
        <f t="shared" si="28"/>
        <v>25223.86</v>
      </c>
      <c r="G77" s="65">
        <v>1446.44</v>
      </c>
      <c r="H77" s="65">
        <v>193.81</v>
      </c>
      <c r="I77" s="65">
        <v>289.85000000000002</v>
      </c>
      <c r="J77" s="65">
        <v>22805.100000000002</v>
      </c>
      <c r="K77" s="65">
        <v>488.66</v>
      </c>
      <c r="L77" s="65">
        <v>0</v>
      </c>
      <c r="M77" s="65">
        <f t="shared" si="29"/>
        <v>0</v>
      </c>
      <c r="N77" s="65">
        <v>0</v>
      </c>
      <c r="O77" s="65">
        <v>0</v>
      </c>
      <c r="P77" s="65">
        <v>0</v>
      </c>
      <c r="Q77" s="65">
        <v>0</v>
      </c>
      <c r="R77" s="65">
        <v>0</v>
      </c>
      <c r="S77" s="65">
        <v>30</v>
      </c>
      <c r="T77" s="65">
        <f t="shared" si="30"/>
        <v>1747.47</v>
      </c>
      <c r="U77" s="65">
        <v>657.59</v>
      </c>
      <c r="V77" s="65">
        <v>204.74</v>
      </c>
      <c r="W77" s="65">
        <v>100.99000000000001</v>
      </c>
      <c r="X77" s="65">
        <v>630.06000000000006</v>
      </c>
      <c r="Y77" s="65">
        <v>154.09</v>
      </c>
      <c r="Z77" s="65">
        <f t="shared" si="31"/>
        <v>79</v>
      </c>
      <c r="AA77" s="65">
        <f t="shared" si="32"/>
        <v>26971.33</v>
      </c>
      <c r="AB77" s="65">
        <f t="shared" si="33"/>
        <v>2104.0300000000002</v>
      </c>
      <c r="AC77" s="65">
        <f t="shared" si="34"/>
        <v>398.55</v>
      </c>
      <c r="AD77" s="65">
        <f t="shared" si="35"/>
        <v>390.84000000000003</v>
      </c>
      <c r="AE77" s="65">
        <f t="shared" si="36"/>
        <v>23435.160000000003</v>
      </c>
      <c r="AF77" s="65">
        <f t="shared" si="37"/>
        <v>642.75</v>
      </c>
      <c r="AG77" s="65">
        <f t="shared" si="38"/>
        <v>79</v>
      </c>
      <c r="AH77" s="65">
        <f t="shared" si="39"/>
        <v>26971.33</v>
      </c>
      <c r="AI77" s="65">
        <v>0</v>
      </c>
      <c r="AJ77" s="65">
        <v>0</v>
      </c>
      <c r="AK77" s="65">
        <v>0</v>
      </c>
      <c r="AL77" s="65">
        <v>0</v>
      </c>
      <c r="AM77" s="65"/>
      <c r="AN77" s="65">
        <f t="shared" si="26"/>
        <v>79</v>
      </c>
      <c r="AO77" s="65">
        <f t="shared" si="27"/>
        <v>26971.33</v>
      </c>
      <c r="AP77" s="65">
        <f t="shared" si="40"/>
        <v>341.40924050632913</v>
      </c>
    </row>
    <row r="78" spans="1:42" s="57" customFormat="1">
      <c r="A78" s="86" t="s">
        <v>94</v>
      </c>
      <c r="B78" s="158" t="s">
        <v>212</v>
      </c>
      <c r="C78" s="161" t="s">
        <v>336</v>
      </c>
      <c r="D78" s="159" t="s">
        <v>174</v>
      </c>
      <c r="E78" s="65">
        <v>2582</v>
      </c>
      <c r="F78" s="65">
        <f t="shared" si="28"/>
        <v>577911.4</v>
      </c>
      <c r="G78" s="65">
        <v>130333.98</v>
      </c>
      <c r="H78" s="65">
        <v>1940.88</v>
      </c>
      <c r="I78" s="65">
        <v>5097.38</v>
      </c>
      <c r="J78" s="65">
        <v>437295.92000000004</v>
      </c>
      <c r="K78" s="65">
        <v>3243.24</v>
      </c>
      <c r="L78" s="65">
        <v>21</v>
      </c>
      <c r="M78" s="65">
        <f t="shared" si="29"/>
        <v>40512.129999999997</v>
      </c>
      <c r="N78" s="65">
        <v>66.61</v>
      </c>
      <c r="O78" s="65">
        <v>0</v>
      </c>
      <c r="P78" s="65">
        <v>6.13</v>
      </c>
      <c r="Q78" s="65">
        <v>40412.82</v>
      </c>
      <c r="R78" s="65">
        <v>26.57</v>
      </c>
      <c r="S78" s="65">
        <v>106</v>
      </c>
      <c r="T78" s="65">
        <f t="shared" si="30"/>
        <v>13587.58</v>
      </c>
      <c r="U78" s="65">
        <v>2605</v>
      </c>
      <c r="V78" s="65">
        <v>2764.18</v>
      </c>
      <c r="W78" s="65">
        <v>3942.4</v>
      </c>
      <c r="X78" s="65">
        <v>1999.09</v>
      </c>
      <c r="Y78" s="65">
        <v>2276.91</v>
      </c>
      <c r="Z78" s="65">
        <f t="shared" si="31"/>
        <v>2709</v>
      </c>
      <c r="AA78" s="65">
        <f t="shared" si="32"/>
        <v>632011.11</v>
      </c>
      <c r="AB78" s="65">
        <f t="shared" si="33"/>
        <v>133005.59</v>
      </c>
      <c r="AC78" s="65">
        <f t="shared" si="34"/>
        <v>4705.0599999999995</v>
      </c>
      <c r="AD78" s="65">
        <f t="shared" si="35"/>
        <v>9045.91</v>
      </c>
      <c r="AE78" s="65">
        <f t="shared" si="36"/>
        <v>479707.83000000007</v>
      </c>
      <c r="AF78" s="65">
        <f t="shared" si="37"/>
        <v>5546.7199999999993</v>
      </c>
      <c r="AG78" s="65">
        <f t="shared" si="38"/>
        <v>2709</v>
      </c>
      <c r="AH78" s="65">
        <f t="shared" si="39"/>
        <v>632011.11</v>
      </c>
      <c r="AI78" s="65">
        <v>0</v>
      </c>
      <c r="AJ78" s="65">
        <v>0</v>
      </c>
      <c r="AK78" s="65">
        <v>0</v>
      </c>
      <c r="AL78" s="65">
        <v>0</v>
      </c>
      <c r="AM78" s="65"/>
      <c r="AN78" s="65">
        <f t="shared" si="26"/>
        <v>2709</v>
      </c>
      <c r="AO78" s="65">
        <f t="shared" si="27"/>
        <v>632011.11</v>
      </c>
      <c r="AP78" s="65">
        <f t="shared" si="40"/>
        <v>233.30052048726466</v>
      </c>
    </row>
    <row r="79" spans="1:42" s="57" customFormat="1">
      <c r="A79" s="86" t="s">
        <v>95</v>
      </c>
      <c r="B79" s="158" t="s">
        <v>211</v>
      </c>
      <c r="C79" s="161" t="s">
        <v>335</v>
      </c>
      <c r="D79" s="159"/>
      <c r="E79" s="65">
        <v>26</v>
      </c>
      <c r="F79" s="65">
        <f t="shared" si="28"/>
        <v>4000.11</v>
      </c>
      <c r="G79" s="65">
        <v>1994.86</v>
      </c>
      <c r="H79" s="65">
        <v>97.08</v>
      </c>
      <c r="I79" s="65">
        <v>530.07000000000005</v>
      </c>
      <c r="J79" s="65">
        <v>1349.1100000000001</v>
      </c>
      <c r="K79" s="65">
        <v>28.99</v>
      </c>
      <c r="L79" s="65">
        <v>0</v>
      </c>
      <c r="M79" s="65">
        <f t="shared" si="29"/>
        <v>0</v>
      </c>
      <c r="N79" s="65">
        <v>0</v>
      </c>
      <c r="O79" s="65">
        <v>0</v>
      </c>
      <c r="P79" s="65">
        <v>0</v>
      </c>
      <c r="Q79" s="65">
        <v>0</v>
      </c>
      <c r="R79" s="65">
        <v>0</v>
      </c>
      <c r="S79" s="65">
        <v>1</v>
      </c>
      <c r="T79" s="65">
        <f t="shared" si="30"/>
        <v>43</v>
      </c>
      <c r="U79" s="65">
        <v>0</v>
      </c>
      <c r="V79" s="65">
        <v>43</v>
      </c>
      <c r="W79" s="65">
        <v>0</v>
      </c>
      <c r="X79" s="65">
        <v>0</v>
      </c>
      <c r="Y79" s="65">
        <v>0</v>
      </c>
      <c r="Z79" s="65">
        <f t="shared" si="31"/>
        <v>27</v>
      </c>
      <c r="AA79" s="65">
        <f t="shared" si="32"/>
        <v>4043.11</v>
      </c>
      <c r="AB79" s="65">
        <f t="shared" si="33"/>
        <v>1994.86</v>
      </c>
      <c r="AC79" s="65">
        <f t="shared" si="34"/>
        <v>140.07999999999998</v>
      </c>
      <c r="AD79" s="65">
        <f t="shared" si="35"/>
        <v>530.07000000000005</v>
      </c>
      <c r="AE79" s="65">
        <f t="shared" si="36"/>
        <v>1349.1100000000001</v>
      </c>
      <c r="AF79" s="65">
        <f t="shared" si="37"/>
        <v>28.99</v>
      </c>
      <c r="AG79" s="65">
        <f t="shared" si="38"/>
        <v>27</v>
      </c>
      <c r="AH79" s="65">
        <f t="shared" si="39"/>
        <v>4043.11</v>
      </c>
      <c r="AI79" s="65">
        <v>0</v>
      </c>
      <c r="AJ79" s="65">
        <v>0</v>
      </c>
      <c r="AK79" s="65">
        <v>0</v>
      </c>
      <c r="AL79" s="65">
        <v>0</v>
      </c>
      <c r="AM79" s="65"/>
      <c r="AN79" s="65">
        <f t="shared" si="26"/>
        <v>27</v>
      </c>
      <c r="AO79" s="65">
        <f t="shared" si="27"/>
        <v>4043.11</v>
      </c>
      <c r="AP79" s="65">
        <f t="shared" si="40"/>
        <v>149.74481481481482</v>
      </c>
    </row>
    <row r="80" spans="1:42" s="57" customFormat="1">
      <c r="A80" s="86" t="s">
        <v>96</v>
      </c>
      <c r="B80" s="158" t="s">
        <v>212</v>
      </c>
      <c r="C80" s="161" t="s">
        <v>336</v>
      </c>
      <c r="D80" s="160"/>
      <c r="E80" s="121">
        <v>743</v>
      </c>
      <c r="F80" s="65">
        <f t="shared" si="28"/>
        <v>163545.22</v>
      </c>
      <c r="G80" s="122">
        <v>33619.329999999994</v>
      </c>
      <c r="H80" s="123">
        <v>250.72</v>
      </c>
      <c r="I80" s="123">
        <v>1710.6300000000003</v>
      </c>
      <c r="J80" s="123">
        <v>135956.29</v>
      </c>
      <c r="K80" s="124">
        <v>-7991.75</v>
      </c>
      <c r="L80" s="121">
        <v>1</v>
      </c>
      <c r="M80" s="65">
        <f t="shared" si="29"/>
        <v>2661</v>
      </c>
      <c r="N80" s="125">
        <v>48.05</v>
      </c>
      <c r="O80" s="126">
        <v>0</v>
      </c>
      <c r="P80" s="126">
        <v>0</v>
      </c>
      <c r="Q80" s="126">
        <v>0</v>
      </c>
      <c r="R80" s="127">
        <v>2612.9499999999998</v>
      </c>
      <c r="S80" s="128">
        <v>299</v>
      </c>
      <c r="T80" s="65">
        <f t="shared" si="30"/>
        <v>42934.85</v>
      </c>
      <c r="U80" s="125">
        <v>12660.96</v>
      </c>
      <c r="V80" s="126">
        <v>4230.74</v>
      </c>
      <c r="W80" s="126">
        <v>5614.45</v>
      </c>
      <c r="X80" s="126">
        <v>12408.45</v>
      </c>
      <c r="Y80" s="127">
        <v>8020.25</v>
      </c>
      <c r="Z80" s="65">
        <f t="shared" si="31"/>
        <v>1043</v>
      </c>
      <c r="AA80" s="65">
        <f t="shared" si="32"/>
        <v>209141.07</v>
      </c>
      <c r="AB80" s="65">
        <f t="shared" si="33"/>
        <v>46328.34</v>
      </c>
      <c r="AC80" s="65">
        <f t="shared" si="34"/>
        <v>4481.46</v>
      </c>
      <c r="AD80" s="65">
        <f t="shared" si="35"/>
        <v>7325.08</v>
      </c>
      <c r="AE80" s="65">
        <f t="shared" si="36"/>
        <v>148364.74000000002</v>
      </c>
      <c r="AF80" s="65">
        <f t="shared" si="37"/>
        <v>2641.45</v>
      </c>
      <c r="AG80" s="65">
        <f t="shared" si="38"/>
        <v>1043</v>
      </c>
      <c r="AH80" s="65">
        <f t="shared" si="39"/>
        <v>209141.07</v>
      </c>
      <c r="AI80" s="65">
        <v>0</v>
      </c>
      <c r="AJ80" s="65">
        <v>0</v>
      </c>
      <c r="AK80" s="65">
        <v>0</v>
      </c>
      <c r="AL80" s="65">
        <v>0</v>
      </c>
      <c r="AM80" s="65"/>
      <c r="AN80" s="65">
        <f t="shared" si="26"/>
        <v>1043</v>
      </c>
      <c r="AO80" s="65">
        <f t="shared" si="27"/>
        <v>209141.07</v>
      </c>
      <c r="AP80" s="65">
        <f t="shared" si="40"/>
        <v>200.5187631831256</v>
      </c>
    </row>
    <row r="81" spans="1:42" s="57" customFormat="1">
      <c r="A81" s="86" t="s">
        <v>97</v>
      </c>
      <c r="B81" s="158" t="s">
        <v>210</v>
      </c>
      <c r="C81" s="161" t="s">
        <v>336</v>
      </c>
      <c r="D81" s="159" t="s">
        <v>174</v>
      </c>
      <c r="E81" s="65">
        <v>5</v>
      </c>
      <c r="F81" s="65">
        <f t="shared" si="28"/>
        <v>129.18</v>
      </c>
      <c r="G81" s="65">
        <v>129.18</v>
      </c>
      <c r="H81" s="65">
        <v>0</v>
      </c>
      <c r="I81" s="65">
        <v>0</v>
      </c>
      <c r="J81" s="65">
        <v>0</v>
      </c>
      <c r="K81" s="65">
        <v>0</v>
      </c>
      <c r="L81" s="65">
        <v>0</v>
      </c>
      <c r="M81" s="65">
        <f t="shared" si="29"/>
        <v>0</v>
      </c>
      <c r="N81" s="65">
        <v>0</v>
      </c>
      <c r="O81" s="65">
        <v>0</v>
      </c>
      <c r="P81" s="65">
        <v>0</v>
      </c>
      <c r="Q81" s="65">
        <v>0</v>
      </c>
      <c r="R81" s="65">
        <v>0</v>
      </c>
      <c r="S81" s="65">
        <v>1</v>
      </c>
      <c r="T81" s="65">
        <f t="shared" si="30"/>
        <v>73.459999999999994</v>
      </c>
      <c r="U81" s="65">
        <v>0</v>
      </c>
      <c r="V81" s="65">
        <v>73.459999999999994</v>
      </c>
      <c r="W81" s="65">
        <v>0</v>
      </c>
      <c r="X81" s="65">
        <v>0</v>
      </c>
      <c r="Y81" s="65">
        <v>0</v>
      </c>
      <c r="Z81" s="65">
        <f t="shared" si="31"/>
        <v>6</v>
      </c>
      <c r="AA81" s="65">
        <f t="shared" si="32"/>
        <v>202.64</v>
      </c>
      <c r="AB81" s="65">
        <f t="shared" si="33"/>
        <v>129.18</v>
      </c>
      <c r="AC81" s="65">
        <f t="shared" si="34"/>
        <v>73.459999999999994</v>
      </c>
      <c r="AD81" s="65">
        <f t="shared" si="35"/>
        <v>0</v>
      </c>
      <c r="AE81" s="65">
        <f t="shared" si="36"/>
        <v>0</v>
      </c>
      <c r="AF81" s="65">
        <f t="shared" si="37"/>
        <v>0</v>
      </c>
      <c r="AG81" s="65">
        <f t="shared" si="38"/>
        <v>6</v>
      </c>
      <c r="AH81" s="65">
        <f t="shared" si="39"/>
        <v>202.64</v>
      </c>
      <c r="AI81" s="65">
        <v>0</v>
      </c>
      <c r="AJ81" s="65">
        <v>0</v>
      </c>
      <c r="AK81" s="65">
        <v>0</v>
      </c>
      <c r="AL81" s="65">
        <v>0</v>
      </c>
      <c r="AM81" s="65"/>
      <c r="AN81" s="65">
        <f t="shared" si="26"/>
        <v>6</v>
      </c>
      <c r="AO81" s="65">
        <f t="shared" si="27"/>
        <v>202.64</v>
      </c>
      <c r="AP81" s="65">
        <f t="shared" si="40"/>
        <v>33.773333333333333</v>
      </c>
    </row>
    <row r="82" spans="1:42" s="57" customFormat="1">
      <c r="A82" s="86" t="s">
        <v>98</v>
      </c>
      <c r="B82" s="158" t="s">
        <v>212</v>
      </c>
      <c r="C82" s="161" t="s">
        <v>335</v>
      </c>
      <c r="D82" s="159"/>
      <c r="E82" s="65">
        <v>32</v>
      </c>
      <c r="F82" s="65">
        <f t="shared" si="28"/>
        <v>6998.32</v>
      </c>
      <c r="G82" s="65">
        <v>1513.8700000000001</v>
      </c>
      <c r="H82" s="65">
        <v>58.2</v>
      </c>
      <c r="I82" s="65">
        <v>79.210000000000008</v>
      </c>
      <c r="J82" s="65">
        <v>5178.2</v>
      </c>
      <c r="K82" s="65">
        <v>168.84</v>
      </c>
      <c r="L82" s="65">
        <v>0</v>
      </c>
      <c r="M82" s="65">
        <f t="shared" si="29"/>
        <v>0</v>
      </c>
      <c r="N82" s="65">
        <v>0</v>
      </c>
      <c r="O82" s="65">
        <v>0</v>
      </c>
      <c r="P82" s="65">
        <v>0</v>
      </c>
      <c r="Q82" s="65">
        <v>0</v>
      </c>
      <c r="R82" s="65">
        <v>0</v>
      </c>
      <c r="S82" s="65">
        <v>55</v>
      </c>
      <c r="T82" s="65">
        <f t="shared" si="30"/>
        <v>12480.080000000002</v>
      </c>
      <c r="U82" s="65">
        <v>2496.25</v>
      </c>
      <c r="V82" s="65">
        <v>782.01</v>
      </c>
      <c r="W82" s="65">
        <v>1862.13</v>
      </c>
      <c r="X82" s="65">
        <v>6094.35</v>
      </c>
      <c r="Y82" s="65">
        <v>1245.3399999999999</v>
      </c>
      <c r="Z82" s="65">
        <f t="shared" si="31"/>
        <v>87</v>
      </c>
      <c r="AA82" s="65">
        <f t="shared" si="32"/>
        <v>19478.400000000001</v>
      </c>
      <c r="AB82" s="65">
        <f t="shared" si="33"/>
        <v>4010.12</v>
      </c>
      <c r="AC82" s="65">
        <f t="shared" si="34"/>
        <v>840.21</v>
      </c>
      <c r="AD82" s="65">
        <f t="shared" si="35"/>
        <v>1941.3400000000001</v>
      </c>
      <c r="AE82" s="65">
        <f t="shared" si="36"/>
        <v>11272.55</v>
      </c>
      <c r="AF82" s="65">
        <f t="shared" si="37"/>
        <v>1414.1799999999998</v>
      </c>
      <c r="AG82" s="65">
        <f t="shared" si="38"/>
        <v>87</v>
      </c>
      <c r="AH82" s="65">
        <f t="shared" si="39"/>
        <v>19478.400000000001</v>
      </c>
      <c r="AI82" s="65">
        <v>0</v>
      </c>
      <c r="AJ82" s="65">
        <v>0</v>
      </c>
      <c r="AK82" s="65">
        <v>0</v>
      </c>
      <c r="AL82" s="65">
        <v>0</v>
      </c>
      <c r="AM82" s="65"/>
      <c r="AN82" s="65">
        <f t="shared" si="26"/>
        <v>87</v>
      </c>
      <c r="AO82" s="65">
        <f t="shared" si="27"/>
        <v>19478.400000000001</v>
      </c>
      <c r="AP82" s="65">
        <f t="shared" si="40"/>
        <v>223.8896551724138</v>
      </c>
    </row>
    <row r="83" spans="1:42" s="57" customFormat="1">
      <c r="A83" s="86" t="s">
        <v>99</v>
      </c>
      <c r="B83" s="158" t="s">
        <v>212</v>
      </c>
      <c r="C83" s="161" t="s">
        <v>335</v>
      </c>
      <c r="D83" s="159"/>
      <c r="E83" s="65">
        <v>1</v>
      </c>
      <c r="F83" s="65">
        <f t="shared" si="28"/>
        <v>1235.1500000000001</v>
      </c>
      <c r="G83" s="65">
        <v>0</v>
      </c>
      <c r="H83" s="65">
        <v>0</v>
      </c>
      <c r="I83" s="65">
        <v>0</v>
      </c>
      <c r="J83" s="65">
        <v>1235.1500000000001</v>
      </c>
      <c r="K83" s="65">
        <v>0</v>
      </c>
      <c r="L83" s="65">
        <v>0</v>
      </c>
      <c r="M83" s="65">
        <f t="shared" si="29"/>
        <v>0</v>
      </c>
      <c r="N83" s="65">
        <v>0</v>
      </c>
      <c r="O83" s="65">
        <v>0</v>
      </c>
      <c r="P83" s="65">
        <v>0</v>
      </c>
      <c r="Q83" s="65">
        <v>0</v>
      </c>
      <c r="R83" s="65">
        <v>0</v>
      </c>
      <c r="S83" s="65">
        <v>3</v>
      </c>
      <c r="T83" s="65">
        <f t="shared" si="30"/>
        <v>586.99</v>
      </c>
      <c r="U83" s="65">
        <v>102.14</v>
      </c>
      <c r="V83" s="65">
        <v>0</v>
      </c>
      <c r="W83" s="65">
        <v>0</v>
      </c>
      <c r="X83" s="65">
        <v>454.42</v>
      </c>
      <c r="Y83" s="65">
        <v>30.43</v>
      </c>
      <c r="Z83" s="65">
        <f t="shared" si="31"/>
        <v>4</v>
      </c>
      <c r="AA83" s="65">
        <f t="shared" si="32"/>
        <v>1822.14</v>
      </c>
      <c r="AB83" s="65">
        <f t="shared" si="33"/>
        <v>102.14</v>
      </c>
      <c r="AC83" s="65">
        <f t="shared" si="34"/>
        <v>0</v>
      </c>
      <c r="AD83" s="65">
        <f t="shared" si="35"/>
        <v>0</v>
      </c>
      <c r="AE83" s="65">
        <f t="shared" si="36"/>
        <v>1689.5700000000002</v>
      </c>
      <c r="AF83" s="65">
        <f t="shared" si="37"/>
        <v>30.43</v>
      </c>
      <c r="AG83" s="65">
        <f t="shared" si="38"/>
        <v>4</v>
      </c>
      <c r="AH83" s="65">
        <f t="shared" si="39"/>
        <v>1822.14</v>
      </c>
      <c r="AI83" s="65">
        <v>0</v>
      </c>
      <c r="AJ83" s="65">
        <v>0</v>
      </c>
      <c r="AK83" s="65">
        <v>0</v>
      </c>
      <c r="AL83" s="65">
        <v>0</v>
      </c>
      <c r="AM83" s="65"/>
      <c r="AN83" s="65">
        <f t="shared" si="26"/>
        <v>4</v>
      </c>
      <c r="AO83" s="65">
        <f t="shared" si="27"/>
        <v>1822.14</v>
      </c>
      <c r="AP83" s="65">
        <f t="shared" si="40"/>
        <v>455.53500000000003</v>
      </c>
    </row>
    <row r="84" spans="1:42" s="57" customFormat="1">
      <c r="A84" s="86" t="s">
        <v>100</v>
      </c>
      <c r="B84" s="158" t="s">
        <v>209</v>
      </c>
      <c r="C84" s="161" t="s">
        <v>335</v>
      </c>
      <c r="D84" s="159"/>
      <c r="E84" s="65">
        <v>80</v>
      </c>
      <c r="F84" s="65">
        <f t="shared" si="28"/>
        <v>21575.250000000004</v>
      </c>
      <c r="G84" s="65">
        <v>3904.96</v>
      </c>
      <c r="H84" s="65">
        <v>25.46</v>
      </c>
      <c r="I84" s="65">
        <v>257.39</v>
      </c>
      <c r="J84" s="65">
        <v>17297.810000000001</v>
      </c>
      <c r="K84" s="65">
        <v>89.63000000000001</v>
      </c>
      <c r="L84" s="65">
        <v>0</v>
      </c>
      <c r="M84" s="65">
        <f t="shared" si="29"/>
        <v>0</v>
      </c>
      <c r="N84" s="65">
        <v>0</v>
      </c>
      <c r="O84" s="65">
        <v>0</v>
      </c>
      <c r="P84" s="65">
        <v>0</v>
      </c>
      <c r="Q84" s="65">
        <v>0</v>
      </c>
      <c r="R84" s="65">
        <v>0</v>
      </c>
      <c r="S84" s="65">
        <v>66</v>
      </c>
      <c r="T84" s="65">
        <f t="shared" si="30"/>
        <v>10679.56</v>
      </c>
      <c r="U84" s="65">
        <v>3312.3</v>
      </c>
      <c r="V84" s="65">
        <v>666.29000000000008</v>
      </c>
      <c r="W84" s="65">
        <v>1921.06</v>
      </c>
      <c r="X84" s="65">
        <v>3024.66</v>
      </c>
      <c r="Y84" s="65">
        <v>1755.25</v>
      </c>
      <c r="Z84" s="65">
        <f t="shared" si="31"/>
        <v>146</v>
      </c>
      <c r="AA84" s="65">
        <f t="shared" si="32"/>
        <v>32254.810000000005</v>
      </c>
      <c r="AB84" s="65">
        <f t="shared" si="33"/>
        <v>7217.26</v>
      </c>
      <c r="AC84" s="65">
        <f t="shared" si="34"/>
        <v>691.75000000000011</v>
      </c>
      <c r="AD84" s="65">
        <f t="shared" si="35"/>
        <v>2178.4499999999998</v>
      </c>
      <c r="AE84" s="65">
        <f t="shared" si="36"/>
        <v>20322.47</v>
      </c>
      <c r="AF84" s="65">
        <f t="shared" si="37"/>
        <v>1844.88</v>
      </c>
      <c r="AG84" s="65">
        <f t="shared" si="38"/>
        <v>146</v>
      </c>
      <c r="AH84" s="65">
        <f t="shared" si="39"/>
        <v>32254.810000000005</v>
      </c>
      <c r="AI84" s="65">
        <v>0</v>
      </c>
      <c r="AJ84" s="65">
        <v>0</v>
      </c>
      <c r="AK84" s="65">
        <v>0</v>
      </c>
      <c r="AL84" s="65">
        <v>0</v>
      </c>
      <c r="AM84" s="65"/>
      <c r="AN84" s="65">
        <f t="shared" si="26"/>
        <v>146</v>
      </c>
      <c r="AO84" s="65">
        <f t="shared" si="27"/>
        <v>32254.810000000005</v>
      </c>
      <c r="AP84" s="65">
        <f t="shared" si="40"/>
        <v>220.92335616438359</v>
      </c>
    </row>
    <row r="85" spans="1:42" s="57" customFormat="1">
      <c r="A85" s="86" t="s">
        <v>101</v>
      </c>
      <c r="B85" s="158" t="s">
        <v>212</v>
      </c>
      <c r="C85" s="161" t="s">
        <v>335</v>
      </c>
      <c r="D85" s="159"/>
      <c r="E85" s="65">
        <v>7</v>
      </c>
      <c r="F85" s="65">
        <f t="shared" si="28"/>
        <v>9134.65</v>
      </c>
      <c r="G85" s="65">
        <v>235.57</v>
      </c>
      <c r="H85" s="65">
        <v>0</v>
      </c>
      <c r="I85" s="65">
        <v>0</v>
      </c>
      <c r="J85" s="65">
        <v>8899.08</v>
      </c>
      <c r="K85" s="65">
        <v>0</v>
      </c>
      <c r="L85" s="65">
        <v>0</v>
      </c>
      <c r="M85" s="65">
        <f t="shared" si="29"/>
        <v>0</v>
      </c>
      <c r="N85" s="65">
        <v>0</v>
      </c>
      <c r="O85" s="65">
        <v>0</v>
      </c>
      <c r="P85" s="65">
        <v>0</v>
      </c>
      <c r="Q85" s="65">
        <v>0</v>
      </c>
      <c r="R85" s="65">
        <v>0</v>
      </c>
      <c r="S85" s="65">
        <v>0</v>
      </c>
      <c r="T85" s="65">
        <f t="shared" si="30"/>
        <v>0</v>
      </c>
      <c r="U85" s="65">
        <v>0</v>
      </c>
      <c r="V85" s="65">
        <v>0</v>
      </c>
      <c r="W85" s="65">
        <v>0</v>
      </c>
      <c r="X85" s="65">
        <v>0</v>
      </c>
      <c r="Y85" s="65">
        <v>0</v>
      </c>
      <c r="Z85" s="65">
        <f t="shared" si="31"/>
        <v>7</v>
      </c>
      <c r="AA85" s="65">
        <f t="shared" si="32"/>
        <v>9134.65</v>
      </c>
      <c r="AB85" s="65">
        <f t="shared" si="33"/>
        <v>235.57</v>
      </c>
      <c r="AC85" s="65">
        <f t="shared" si="34"/>
        <v>0</v>
      </c>
      <c r="AD85" s="65">
        <f t="shared" si="35"/>
        <v>0</v>
      </c>
      <c r="AE85" s="65">
        <f t="shared" si="36"/>
        <v>8899.08</v>
      </c>
      <c r="AF85" s="65">
        <f t="shared" si="37"/>
        <v>0</v>
      </c>
      <c r="AG85" s="65">
        <f t="shared" si="38"/>
        <v>7</v>
      </c>
      <c r="AH85" s="65">
        <f t="shared" si="39"/>
        <v>9134.65</v>
      </c>
      <c r="AI85" s="65">
        <v>0</v>
      </c>
      <c r="AJ85" s="65">
        <v>0</v>
      </c>
      <c r="AK85" s="65">
        <v>0</v>
      </c>
      <c r="AL85" s="65">
        <v>0</v>
      </c>
      <c r="AM85" s="65"/>
      <c r="AN85" s="65">
        <f t="shared" si="26"/>
        <v>7</v>
      </c>
      <c r="AO85" s="65">
        <f t="shared" si="27"/>
        <v>9134.65</v>
      </c>
      <c r="AP85" s="65">
        <f t="shared" si="40"/>
        <v>1304.95</v>
      </c>
    </row>
    <row r="86" spans="1:42" s="57" customFormat="1">
      <c r="A86" s="132" t="s">
        <v>303</v>
      </c>
      <c r="B86" s="161" t="s">
        <v>213</v>
      </c>
      <c r="C86" s="161" t="s">
        <v>335</v>
      </c>
      <c r="D86" s="159"/>
      <c r="E86" s="65">
        <v>0</v>
      </c>
      <c r="F86" s="65">
        <f t="shared" si="28"/>
        <v>0</v>
      </c>
      <c r="G86" s="65">
        <v>0</v>
      </c>
      <c r="H86" s="65">
        <v>0</v>
      </c>
      <c r="I86" s="65">
        <v>0</v>
      </c>
      <c r="J86" s="65">
        <v>0</v>
      </c>
      <c r="K86" s="65">
        <v>0</v>
      </c>
      <c r="L86" s="65">
        <v>0</v>
      </c>
      <c r="M86" s="65">
        <f t="shared" si="29"/>
        <v>0</v>
      </c>
      <c r="N86" s="65">
        <v>0</v>
      </c>
      <c r="O86" s="65">
        <v>0</v>
      </c>
      <c r="P86" s="65">
        <v>0</v>
      </c>
      <c r="Q86" s="65">
        <v>0</v>
      </c>
      <c r="R86" s="65">
        <v>0</v>
      </c>
      <c r="S86" s="65">
        <v>0</v>
      </c>
      <c r="T86" s="65">
        <f t="shared" si="30"/>
        <v>0</v>
      </c>
      <c r="U86" s="65">
        <v>0</v>
      </c>
      <c r="V86" s="65">
        <v>0</v>
      </c>
      <c r="W86" s="65">
        <v>0</v>
      </c>
      <c r="X86" s="65">
        <v>0</v>
      </c>
      <c r="Y86" s="65">
        <v>0</v>
      </c>
      <c r="Z86" s="65">
        <f t="shared" si="31"/>
        <v>0</v>
      </c>
      <c r="AA86" s="65">
        <f t="shared" si="32"/>
        <v>0</v>
      </c>
      <c r="AB86" s="65">
        <f t="shared" si="33"/>
        <v>0</v>
      </c>
      <c r="AC86" s="65">
        <f t="shared" si="34"/>
        <v>0</v>
      </c>
      <c r="AD86" s="65">
        <f t="shared" si="35"/>
        <v>0</v>
      </c>
      <c r="AE86" s="65">
        <f t="shared" si="36"/>
        <v>0</v>
      </c>
      <c r="AF86" s="65">
        <f t="shared" si="37"/>
        <v>0</v>
      </c>
      <c r="AG86" s="65">
        <f t="shared" si="38"/>
        <v>0</v>
      </c>
      <c r="AH86" s="65">
        <f t="shared" si="39"/>
        <v>0</v>
      </c>
      <c r="AI86" s="65">
        <v>0</v>
      </c>
      <c r="AJ86" s="65">
        <v>0</v>
      </c>
      <c r="AK86" s="65">
        <v>0</v>
      </c>
      <c r="AL86" s="65">
        <v>0</v>
      </c>
      <c r="AM86" s="65"/>
      <c r="AN86" s="65">
        <f t="shared" si="26"/>
        <v>0</v>
      </c>
      <c r="AO86" s="65">
        <f t="shared" si="27"/>
        <v>0</v>
      </c>
      <c r="AP86" s="65" t="e">
        <f t="shared" si="40"/>
        <v>#DIV/0!</v>
      </c>
    </row>
    <row r="87" spans="1:42" s="57" customFormat="1">
      <c r="A87" s="132" t="s">
        <v>268</v>
      </c>
      <c r="B87" s="161" t="s">
        <v>210</v>
      </c>
      <c r="C87" s="161" t="s">
        <v>336</v>
      </c>
      <c r="D87" s="162" t="s">
        <v>174</v>
      </c>
      <c r="E87" s="65">
        <v>40</v>
      </c>
      <c r="F87" s="65">
        <f t="shared" si="28"/>
        <v>6449.44</v>
      </c>
      <c r="G87" s="65">
        <v>842.44999999999993</v>
      </c>
      <c r="H87" s="65">
        <v>0</v>
      </c>
      <c r="I87" s="65">
        <v>0.92</v>
      </c>
      <c r="J87" s="65">
        <v>5359.58</v>
      </c>
      <c r="K87" s="65">
        <v>246.48999999999998</v>
      </c>
      <c r="L87" s="65">
        <v>3</v>
      </c>
      <c r="M87" s="65">
        <f t="shared" si="29"/>
        <v>5880</v>
      </c>
      <c r="N87" s="65">
        <v>0</v>
      </c>
      <c r="O87" s="65">
        <v>0</v>
      </c>
      <c r="P87" s="65">
        <v>0</v>
      </c>
      <c r="Q87" s="65">
        <v>5880</v>
      </c>
      <c r="R87" s="65">
        <v>0</v>
      </c>
      <c r="S87" s="65">
        <v>1</v>
      </c>
      <c r="T87" s="65">
        <f t="shared" si="30"/>
        <v>43.86</v>
      </c>
      <c r="U87" s="65">
        <v>0</v>
      </c>
      <c r="V87" s="65">
        <v>43.86</v>
      </c>
      <c r="W87" s="65">
        <v>0</v>
      </c>
      <c r="X87" s="65">
        <v>0</v>
      </c>
      <c r="Y87" s="65">
        <v>0</v>
      </c>
      <c r="Z87" s="65">
        <f t="shared" si="31"/>
        <v>44</v>
      </c>
      <c r="AA87" s="65">
        <f t="shared" si="32"/>
        <v>12373.3</v>
      </c>
      <c r="AB87" s="65">
        <f t="shared" si="33"/>
        <v>842.44999999999993</v>
      </c>
      <c r="AC87" s="65">
        <f t="shared" si="34"/>
        <v>43.86</v>
      </c>
      <c r="AD87" s="65">
        <f t="shared" si="35"/>
        <v>0.92</v>
      </c>
      <c r="AE87" s="65">
        <f t="shared" si="36"/>
        <v>11239.58</v>
      </c>
      <c r="AF87" s="65">
        <f t="shared" si="37"/>
        <v>246.48999999999998</v>
      </c>
      <c r="AG87" s="65">
        <f t="shared" si="38"/>
        <v>44</v>
      </c>
      <c r="AH87" s="65">
        <f t="shared" si="39"/>
        <v>12373.3</v>
      </c>
      <c r="AI87" s="65">
        <v>0</v>
      </c>
      <c r="AJ87" s="65">
        <v>0</v>
      </c>
      <c r="AK87" s="65">
        <v>0</v>
      </c>
      <c r="AL87" s="65">
        <v>0</v>
      </c>
      <c r="AM87" s="65"/>
      <c r="AN87" s="65">
        <f t="shared" si="26"/>
        <v>44</v>
      </c>
      <c r="AO87" s="65">
        <f t="shared" si="27"/>
        <v>12373.3</v>
      </c>
      <c r="AP87" s="65">
        <f t="shared" si="40"/>
        <v>281.21136363636361</v>
      </c>
    </row>
    <row r="88" spans="1:42" s="57" customFormat="1">
      <c r="A88" s="86" t="s">
        <v>102</v>
      </c>
      <c r="B88" s="158" t="s">
        <v>212</v>
      </c>
      <c r="C88" s="161" t="s">
        <v>335</v>
      </c>
      <c r="D88" s="159"/>
      <c r="E88" s="65">
        <v>4</v>
      </c>
      <c r="F88" s="65">
        <f t="shared" si="28"/>
        <v>228.79</v>
      </c>
      <c r="G88" s="65">
        <v>228.79</v>
      </c>
      <c r="H88" s="65">
        <v>0</v>
      </c>
      <c r="I88" s="65">
        <v>0</v>
      </c>
      <c r="J88" s="65">
        <v>0</v>
      </c>
      <c r="K88" s="65">
        <v>0</v>
      </c>
      <c r="L88" s="65">
        <v>0</v>
      </c>
      <c r="M88" s="65">
        <f t="shared" si="29"/>
        <v>0</v>
      </c>
      <c r="N88" s="65">
        <v>0</v>
      </c>
      <c r="O88" s="65">
        <v>0</v>
      </c>
      <c r="P88" s="65">
        <v>0</v>
      </c>
      <c r="Q88" s="65">
        <v>0</v>
      </c>
      <c r="R88" s="65">
        <v>0</v>
      </c>
      <c r="S88" s="65">
        <v>23</v>
      </c>
      <c r="T88" s="65">
        <f t="shared" si="30"/>
        <v>7456.98</v>
      </c>
      <c r="U88" s="65">
        <v>1541.1899999999998</v>
      </c>
      <c r="V88" s="65">
        <v>576.58000000000004</v>
      </c>
      <c r="W88" s="65">
        <v>2942.27</v>
      </c>
      <c r="X88" s="65">
        <v>957.74</v>
      </c>
      <c r="Y88" s="65">
        <v>1439.1999999999998</v>
      </c>
      <c r="Z88" s="65">
        <f t="shared" si="31"/>
        <v>27</v>
      </c>
      <c r="AA88" s="65">
        <f t="shared" si="32"/>
        <v>7685.7699999999995</v>
      </c>
      <c r="AB88" s="65">
        <f t="shared" si="33"/>
        <v>1769.9799999999998</v>
      </c>
      <c r="AC88" s="65">
        <f t="shared" si="34"/>
        <v>576.58000000000004</v>
      </c>
      <c r="AD88" s="65">
        <f t="shared" si="35"/>
        <v>2942.27</v>
      </c>
      <c r="AE88" s="65">
        <f t="shared" si="36"/>
        <v>957.74</v>
      </c>
      <c r="AF88" s="65">
        <f t="shared" si="37"/>
        <v>1439.1999999999998</v>
      </c>
      <c r="AG88" s="65">
        <f t="shared" si="38"/>
        <v>27</v>
      </c>
      <c r="AH88" s="65">
        <f t="shared" si="39"/>
        <v>7685.7699999999995</v>
      </c>
      <c r="AI88" s="65">
        <v>0</v>
      </c>
      <c r="AJ88" s="65">
        <v>0</v>
      </c>
      <c r="AK88" s="65">
        <v>0</v>
      </c>
      <c r="AL88" s="65">
        <v>0</v>
      </c>
      <c r="AM88" s="65"/>
      <c r="AN88" s="65">
        <f t="shared" si="26"/>
        <v>27</v>
      </c>
      <c r="AO88" s="65">
        <f t="shared" si="27"/>
        <v>7685.7699999999995</v>
      </c>
      <c r="AP88" s="65">
        <f t="shared" si="40"/>
        <v>284.65814814814814</v>
      </c>
    </row>
    <row r="89" spans="1:42" s="57" customFormat="1">
      <c r="A89" s="86" t="s">
        <v>103</v>
      </c>
      <c r="B89" s="158" t="s">
        <v>212</v>
      </c>
      <c r="C89" s="161" t="s">
        <v>335</v>
      </c>
      <c r="D89" s="159"/>
      <c r="E89" s="65">
        <v>146</v>
      </c>
      <c r="F89" s="65">
        <f t="shared" si="28"/>
        <v>18206.23</v>
      </c>
      <c r="G89" s="65">
        <v>3559.05</v>
      </c>
      <c r="H89" s="65">
        <v>89.28</v>
      </c>
      <c r="I89" s="65">
        <v>165.44</v>
      </c>
      <c r="J89" s="65">
        <v>14254.77</v>
      </c>
      <c r="K89" s="65">
        <v>137.69</v>
      </c>
      <c r="L89" s="65">
        <v>2</v>
      </c>
      <c r="M89" s="65">
        <f t="shared" si="29"/>
        <v>1710</v>
      </c>
      <c r="N89" s="65">
        <v>0</v>
      </c>
      <c r="O89" s="65">
        <v>0</v>
      </c>
      <c r="P89" s="65">
        <v>0</v>
      </c>
      <c r="Q89" s="65">
        <v>1710</v>
      </c>
      <c r="R89" s="65">
        <v>0</v>
      </c>
      <c r="S89" s="65">
        <v>89</v>
      </c>
      <c r="T89" s="65">
        <f t="shared" si="30"/>
        <v>21867.079999999998</v>
      </c>
      <c r="U89" s="65">
        <v>5095.88</v>
      </c>
      <c r="V89" s="65">
        <v>1419.63</v>
      </c>
      <c r="W89" s="65">
        <v>2580.7999999999997</v>
      </c>
      <c r="X89" s="65">
        <v>7486.68</v>
      </c>
      <c r="Y89" s="65">
        <v>5284.0899999999992</v>
      </c>
      <c r="Z89" s="65">
        <f t="shared" si="31"/>
        <v>237</v>
      </c>
      <c r="AA89" s="65">
        <f t="shared" si="32"/>
        <v>41783.31</v>
      </c>
      <c r="AB89" s="65">
        <f t="shared" si="33"/>
        <v>8654.93</v>
      </c>
      <c r="AC89" s="65">
        <f t="shared" si="34"/>
        <v>1508.91</v>
      </c>
      <c r="AD89" s="65">
        <f t="shared" si="35"/>
        <v>2746.24</v>
      </c>
      <c r="AE89" s="65">
        <f t="shared" si="36"/>
        <v>23451.45</v>
      </c>
      <c r="AF89" s="65">
        <f t="shared" si="37"/>
        <v>5421.7799999999988</v>
      </c>
      <c r="AG89" s="65">
        <f t="shared" si="38"/>
        <v>237</v>
      </c>
      <c r="AH89" s="65">
        <f t="shared" si="39"/>
        <v>41783.31</v>
      </c>
      <c r="AI89" s="65">
        <v>0</v>
      </c>
      <c r="AJ89" s="65">
        <v>0</v>
      </c>
      <c r="AK89" s="65">
        <v>0</v>
      </c>
      <c r="AL89" s="65">
        <v>0</v>
      </c>
      <c r="AM89" s="65"/>
      <c r="AN89" s="65">
        <f t="shared" si="26"/>
        <v>237</v>
      </c>
      <c r="AO89" s="65">
        <f t="shared" si="27"/>
        <v>41783.31</v>
      </c>
      <c r="AP89" s="65">
        <f t="shared" si="40"/>
        <v>176.30088607594936</v>
      </c>
    </row>
    <row r="90" spans="1:42" s="57" customFormat="1">
      <c r="A90" s="86" t="s">
        <v>237</v>
      </c>
      <c r="B90" s="158" t="s">
        <v>209</v>
      </c>
      <c r="C90" s="161" t="s">
        <v>335</v>
      </c>
      <c r="D90" s="159"/>
      <c r="E90" s="65">
        <v>0</v>
      </c>
      <c r="F90" s="65">
        <f t="shared" si="28"/>
        <v>0</v>
      </c>
      <c r="G90" s="65">
        <v>0</v>
      </c>
      <c r="H90" s="65">
        <v>0</v>
      </c>
      <c r="I90" s="65">
        <v>0</v>
      </c>
      <c r="J90" s="65">
        <v>0</v>
      </c>
      <c r="K90" s="65">
        <v>0</v>
      </c>
      <c r="L90" s="65">
        <v>0</v>
      </c>
      <c r="M90" s="65">
        <f t="shared" si="29"/>
        <v>0</v>
      </c>
      <c r="N90" s="65">
        <v>0</v>
      </c>
      <c r="O90" s="65">
        <v>0</v>
      </c>
      <c r="P90" s="65">
        <v>0</v>
      </c>
      <c r="Q90" s="65">
        <v>0</v>
      </c>
      <c r="R90" s="65">
        <v>0</v>
      </c>
      <c r="S90" s="65">
        <v>0</v>
      </c>
      <c r="T90" s="65">
        <f t="shared" si="30"/>
        <v>0</v>
      </c>
      <c r="U90" s="65">
        <v>0</v>
      </c>
      <c r="V90" s="65">
        <v>0</v>
      </c>
      <c r="W90" s="65">
        <v>0</v>
      </c>
      <c r="X90" s="65">
        <v>0</v>
      </c>
      <c r="Y90" s="65">
        <v>0</v>
      </c>
      <c r="Z90" s="65">
        <f t="shared" si="31"/>
        <v>0</v>
      </c>
      <c r="AA90" s="65">
        <f t="shared" si="32"/>
        <v>0</v>
      </c>
      <c r="AB90" s="65">
        <f t="shared" si="33"/>
        <v>0</v>
      </c>
      <c r="AC90" s="65">
        <f t="shared" si="34"/>
        <v>0</v>
      </c>
      <c r="AD90" s="65">
        <f t="shared" si="35"/>
        <v>0</v>
      </c>
      <c r="AE90" s="65">
        <f t="shared" si="36"/>
        <v>0</v>
      </c>
      <c r="AF90" s="65">
        <f t="shared" si="37"/>
        <v>0</v>
      </c>
      <c r="AG90" s="65">
        <f t="shared" si="38"/>
        <v>0</v>
      </c>
      <c r="AH90" s="65">
        <f t="shared" si="39"/>
        <v>0</v>
      </c>
      <c r="AI90" s="65">
        <v>0</v>
      </c>
      <c r="AJ90" s="65">
        <v>0</v>
      </c>
      <c r="AK90" s="65">
        <v>0</v>
      </c>
      <c r="AL90" s="65">
        <v>0</v>
      </c>
      <c r="AM90" s="65"/>
      <c r="AN90" s="65">
        <f t="shared" si="26"/>
        <v>0</v>
      </c>
      <c r="AO90" s="65">
        <f t="shared" si="27"/>
        <v>0</v>
      </c>
      <c r="AP90" s="65" t="e">
        <f t="shared" si="40"/>
        <v>#DIV/0!</v>
      </c>
    </row>
    <row r="91" spans="1:42" s="57" customFormat="1">
      <c r="A91" s="86" t="s">
        <v>104</v>
      </c>
      <c r="B91" s="158" t="s">
        <v>212</v>
      </c>
      <c r="C91" s="161" t="s">
        <v>335</v>
      </c>
      <c r="D91" s="159"/>
      <c r="E91" s="65">
        <v>953</v>
      </c>
      <c r="F91" s="65">
        <f t="shared" si="28"/>
        <v>186053.03</v>
      </c>
      <c r="G91" s="65">
        <v>41589.979999999989</v>
      </c>
      <c r="H91" s="65">
        <v>5756.329999999999</v>
      </c>
      <c r="I91" s="65">
        <v>2413.4399999999996</v>
      </c>
      <c r="J91" s="65">
        <v>132530.96</v>
      </c>
      <c r="K91" s="65">
        <v>3762.32</v>
      </c>
      <c r="L91" s="65">
        <v>4</v>
      </c>
      <c r="M91" s="65">
        <f t="shared" si="29"/>
        <v>4663.67</v>
      </c>
      <c r="N91" s="65">
        <v>168.92</v>
      </c>
      <c r="O91" s="65">
        <v>0</v>
      </c>
      <c r="P91" s="65">
        <v>0</v>
      </c>
      <c r="Q91" s="65">
        <v>4494.75</v>
      </c>
      <c r="R91" s="65">
        <v>0</v>
      </c>
      <c r="S91" s="65">
        <v>335</v>
      </c>
      <c r="T91" s="65">
        <f t="shared" si="30"/>
        <v>143437.00999999998</v>
      </c>
      <c r="U91" s="65">
        <v>24840.799999999999</v>
      </c>
      <c r="V91" s="65">
        <v>12217.68</v>
      </c>
      <c r="W91" s="65">
        <v>43275.54</v>
      </c>
      <c r="X91" s="65">
        <v>33346.22</v>
      </c>
      <c r="Y91" s="65">
        <v>29756.77</v>
      </c>
      <c r="Z91" s="65">
        <f t="shared" si="31"/>
        <v>1292</v>
      </c>
      <c r="AA91" s="65">
        <f t="shared" si="32"/>
        <v>334153.70999999996</v>
      </c>
      <c r="AB91" s="65">
        <f t="shared" si="33"/>
        <v>66599.699999999983</v>
      </c>
      <c r="AC91" s="65">
        <f t="shared" si="34"/>
        <v>17974.009999999998</v>
      </c>
      <c r="AD91" s="65">
        <f t="shared" si="35"/>
        <v>45688.98</v>
      </c>
      <c r="AE91" s="65">
        <f t="shared" si="36"/>
        <v>170371.93</v>
      </c>
      <c r="AF91" s="65">
        <f t="shared" si="37"/>
        <v>33519.090000000004</v>
      </c>
      <c r="AG91" s="65">
        <f t="shared" si="38"/>
        <v>1292</v>
      </c>
      <c r="AH91" s="65">
        <f t="shared" si="39"/>
        <v>334153.70999999996</v>
      </c>
      <c r="AI91" s="65">
        <v>0</v>
      </c>
      <c r="AJ91" s="65">
        <v>0</v>
      </c>
      <c r="AK91" s="65">
        <v>0</v>
      </c>
      <c r="AL91" s="65">
        <v>0</v>
      </c>
      <c r="AM91" s="65"/>
      <c r="AN91" s="65">
        <f t="shared" si="26"/>
        <v>1292</v>
      </c>
      <c r="AO91" s="65">
        <f t="shared" si="27"/>
        <v>334153.70999999996</v>
      </c>
      <c r="AP91" s="65">
        <f t="shared" si="40"/>
        <v>258.63290247678015</v>
      </c>
    </row>
    <row r="92" spans="1:42" s="57" customFormat="1">
      <c r="A92" s="86" t="s">
        <v>202</v>
      </c>
      <c r="B92" s="158" t="s">
        <v>209</v>
      </c>
      <c r="C92" s="161" t="s">
        <v>335</v>
      </c>
      <c r="D92" s="159"/>
      <c r="E92" s="65">
        <v>4</v>
      </c>
      <c r="F92" s="65">
        <f t="shared" si="28"/>
        <v>186.14999999999998</v>
      </c>
      <c r="G92" s="65">
        <v>140.82</v>
      </c>
      <c r="H92" s="65">
        <v>0</v>
      </c>
      <c r="I92" s="65">
        <v>27.83</v>
      </c>
      <c r="J92" s="65">
        <v>0</v>
      </c>
      <c r="K92" s="65">
        <v>17.5</v>
      </c>
      <c r="L92" s="65">
        <v>0</v>
      </c>
      <c r="M92" s="65">
        <f t="shared" si="29"/>
        <v>0</v>
      </c>
      <c r="N92" s="65">
        <v>0</v>
      </c>
      <c r="O92" s="65">
        <v>0</v>
      </c>
      <c r="P92" s="65">
        <v>0</v>
      </c>
      <c r="Q92" s="65">
        <v>0</v>
      </c>
      <c r="R92" s="65">
        <v>0</v>
      </c>
      <c r="S92" s="65">
        <v>1</v>
      </c>
      <c r="T92" s="65">
        <f t="shared" si="30"/>
        <v>81.489999999999995</v>
      </c>
      <c r="U92" s="65">
        <v>78.05</v>
      </c>
      <c r="V92" s="65">
        <v>0</v>
      </c>
      <c r="W92" s="65">
        <v>3.44</v>
      </c>
      <c r="X92" s="65">
        <v>0</v>
      </c>
      <c r="Y92" s="65">
        <v>0</v>
      </c>
      <c r="Z92" s="65">
        <f t="shared" si="31"/>
        <v>5</v>
      </c>
      <c r="AA92" s="65">
        <f t="shared" si="32"/>
        <v>267.64</v>
      </c>
      <c r="AB92" s="65">
        <f t="shared" si="33"/>
        <v>218.87</v>
      </c>
      <c r="AC92" s="65">
        <f t="shared" si="34"/>
        <v>0</v>
      </c>
      <c r="AD92" s="65">
        <f t="shared" si="35"/>
        <v>31.27</v>
      </c>
      <c r="AE92" s="65">
        <f t="shared" si="36"/>
        <v>0</v>
      </c>
      <c r="AF92" s="65">
        <f t="shared" si="37"/>
        <v>17.5</v>
      </c>
      <c r="AG92" s="65">
        <f t="shared" si="38"/>
        <v>5</v>
      </c>
      <c r="AH92" s="65">
        <f t="shared" si="39"/>
        <v>267.64</v>
      </c>
      <c r="AI92" s="65">
        <v>0</v>
      </c>
      <c r="AJ92" s="65">
        <v>0</v>
      </c>
      <c r="AK92" s="65">
        <v>0</v>
      </c>
      <c r="AL92" s="65">
        <v>0</v>
      </c>
      <c r="AM92" s="65"/>
      <c r="AN92" s="65">
        <f t="shared" si="26"/>
        <v>5</v>
      </c>
      <c r="AO92" s="65">
        <f t="shared" si="27"/>
        <v>267.64</v>
      </c>
      <c r="AP92" s="65">
        <f t="shared" si="40"/>
        <v>53.527999999999999</v>
      </c>
    </row>
    <row r="93" spans="1:42" s="57" customFormat="1">
      <c r="A93" s="86" t="s">
        <v>105</v>
      </c>
      <c r="B93" s="158" t="s">
        <v>209</v>
      </c>
      <c r="C93" s="161" t="s">
        <v>335</v>
      </c>
      <c r="D93" s="159"/>
      <c r="E93" s="65">
        <v>0</v>
      </c>
      <c r="F93" s="65">
        <f t="shared" si="28"/>
        <v>0</v>
      </c>
      <c r="G93" s="65">
        <v>0</v>
      </c>
      <c r="H93" s="65">
        <v>0</v>
      </c>
      <c r="I93" s="65">
        <v>0</v>
      </c>
      <c r="J93" s="65">
        <v>0</v>
      </c>
      <c r="K93" s="65">
        <v>0</v>
      </c>
      <c r="L93" s="65">
        <v>0</v>
      </c>
      <c r="M93" s="65">
        <f t="shared" si="29"/>
        <v>0</v>
      </c>
      <c r="N93" s="65">
        <v>0</v>
      </c>
      <c r="O93" s="65">
        <v>0</v>
      </c>
      <c r="P93" s="65">
        <v>0</v>
      </c>
      <c r="Q93" s="65">
        <v>0</v>
      </c>
      <c r="R93" s="65">
        <v>0</v>
      </c>
      <c r="S93" s="65">
        <v>0</v>
      </c>
      <c r="T93" s="65">
        <f t="shared" si="30"/>
        <v>0</v>
      </c>
      <c r="U93" s="65">
        <v>0</v>
      </c>
      <c r="V93" s="65">
        <v>0</v>
      </c>
      <c r="W93" s="65">
        <v>0</v>
      </c>
      <c r="X93" s="65">
        <v>0</v>
      </c>
      <c r="Y93" s="65">
        <v>0</v>
      </c>
      <c r="Z93" s="65">
        <f t="shared" si="31"/>
        <v>0</v>
      </c>
      <c r="AA93" s="65">
        <f t="shared" si="32"/>
        <v>0</v>
      </c>
      <c r="AB93" s="65">
        <f t="shared" si="33"/>
        <v>0</v>
      </c>
      <c r="AC93" s="65">
        <f t="shared" si="34"/>
        <v>0</v>
      </c>
      <c r="AD93" s="65">
        <f t="shared" si="35"/>
        <v>0</v>
      </c>
      <c r="AE93" s="65">
        <f t="shared" si="36"/>
        <v>0</v>
      </c>
      <c r="AF93" s="65">
        <f t="shared" si="37"/>
        <v>0</v>
      </c>
      <c r="AG93" s="65">
        <f t="shared" si="38"/>
        <v>0</v>
      </c>
      <c r="AH93" s="65">
        <f t="shared" si="39"/>
        <v>0</v>
      </c>
      <c r="AI93" s="65">
        <v>0</v>
      </c>
      <c r="AJ93" s="65">
        <v>0</v>
      </c>
      <c r="AK93" s="65">
        <v>0</v>
      </c>
      <c r="AL93" s="65">
        <v>0</v>
      </c>
      <c r="AM93" s="65"/>
      <c r="AN93" s="65">
        <f t="shared" si="26"/>
        <v>0</v>
      </c>
      <c r="AO93" s="65">
        <f t="shared" si="27"/>
        <v>0</v>
      </c>
      <c r="AP93" s="65" t="e">
        <f t="shared" si="40"/>
        <v>#DIV/0!</v>
      </c>
    </row>
    <row r="94" spans="1:42" s="57" customFormat="1">
      <c r="A94" s="86" t="s">
        <v>106</v>
      </c>
      <c r="B94" s="158" t="s">
        <v>210</v>
      </c>
      <c r="C94" s="161" t="s">
        <v>336</v>
      </c>
      <c r="D94" s="159" t="s">
        <v>174</v>
      </c>
      <c r="E94" s="65">
        <v>36</v>
      </c>
      <c r="F94" s="65">
        <f t="shared" si="28"/>
        <v>6831.01</v>
      </c>
      <c r="G94" s="65">
        <v>1076.4100000000001</v>
      </c>
      <c r="H94" s="65">
        <v>0</v>
      </c>
      <c r="I94" s="65">
        <v>118.39999999999999</v>
      </c>
      <c r="J94" s="65">
        <v>5636.2</v>
      </c>
      <c r="K94" s="65">
        <v>0</v>
      </c>
      <c r="L94" s="65">
        <v>0</v>
      </c>
      <c r="M94" s="65">
        <f t="shared" si="29"/>
        <v>0</v>
      </c>
      <c r="N94" s="65">
        <v>0</v>
      </c>
      <c r="O94" s="65">
        <v>0</v>
      </c>
      <c r="P94" s="65">
        <v>0</v>
      </c>
      <c r="Q94" s="65">
        <v>0</v>
      </c>
      <c r="R94" s="65">
        <v>0</v>
      </c>
      <c r="S94" s="65">
        <v>26</v>
      </c>
      <c r="T94" s="65">
        <f t="shared" si="30"/>
        <v>1973.39</v>
      </c>
      <c r="U94" s="65">
        <v>440.19</v>
      </c>
      <c r="V94" s="65">
        <v>75.59</v>
      </c>
      <c r="W94" s="65">
        <v>50.44</v>
      </c>
      <c r="X94" s="65">
        <v>1235.7</v>
      </c>
      <c r="Y94" s="65">
        <v>171.47</v>
      </c>
      <c r="Z94" s="65">
        <f t="shared" si="31"/>
        <v>62</v>
      </c>
      <c r="AA94" s="65">
        <f t="shared" si="32"/>
        <v>8804.4</v>
      </c>
      <c r="AB94" s="65">
        <f t="shared" si="33"/>
        <v>1516.6000000000001</v>
      </c>
      <c r="AC94" s="65">
        <f t="shared" si="34"/>
        <v>75.59</v>
      </c>
      <c r="AD94" s="65">
        <f t="shared" si="35"/>
        <v>168.83999999999997</v>
      </c>
      <c r="AE94" s="65">
        <f t="shared" si="36"/>
        <v>6871.9</v>
      </c>
      <c r="AF94" s="65">
        <f t="shared" si="37"/>
        <v>171.47</v>
      </c>
      <c r="AG94" s="65">
        <f t="shared" si="38"/>
        <v>62</v>
      </c>
      <c r="AH94" s="65">
        <f t="shared" si="39"/>
        <v>8804.4</v>
      </c>
      <c r="AI94" s="65">
        <v>0</v>
      </c>
      <c r="AJ94" s="65">
        <v>0</v>
      </c>
      <c r="AK94" s="65">
        <v>0</v>
      </c>
      <c r="AL94" s="65">
        <v>0</v>
      </c>
      <c r="AM94" s="65"/>
      <c r="AN94" s="65">
        <f t="shared" si="26"/>
        <v>62</v>
      </c>
      <c r="AO94" s="65">
        <f t="shared" si="27"/>
        <v>8804.4</v>
      </c>
      <c r="AP94" s="65">
        <f t="shared" si="40"/>
        <v>142.00645161290322</v>
      </c>
    </row>
    <row r="95" spans="1:42" s="57" customFormat="1">
      <c r="A95" s="86" t="s">
        <v>107</v>
      </c>
      <c r="B95" s="158" t="s">
        <v>209</v>
      </c>
      <c r="C95" s="161" t="s">
        <v>336</v>
      </c>
      <c r="D95" s="159" t="s">
        <v>174</v>
      </c>
      <c r="E95" s="65">
        <v>454</v>
      </c>
      <c r="F95" s="65">
        <f t="shared" si="28"/>
        <v>43981.03</v>
      </c>
      <c r="G95" s="65">
        <v>10529.150000000001</v>
      </c>
      <c r="H95" s="65">
        <v>843.96</v>
      </c>
      <c r="I95" s="65">
        <v>8479.49</v>
      </c>
      <c r="J95" s="65">
        <v>22325.54</v>
      </c>
      <c r="K95" s="65">
        <v>1802.8899999999999</v>
      </c>
      <c r="L95" s="65">
        <v>3</v>
      </c>
      <c r="M95" s="65">
        <f t="shared" si="29"/>
        <v>7652.57</v>
      </c>
      <c r="N95" s="65">
        <v>0</v>
      </c>
      <c r="O95" s="65">
        <v>0</v>
      </c>
      <c r="P95" s="65">
        <v>0</v>
      </c>
      <c r="Q95" s="65">
        <v>7652.57</v>
      </c>
      <c r="R95" s="65">
        <v>0</v>
      </c>
      <c r="S95" s="65">
        <v>442</v>
      </c>
      <c r="T95" s="65">
        <f t="shared" si="30"/>
        <v>76685</v>
      </c>
      <c r="U95" s="65">
        <v>16666.38</v>
      </c>
      <c r="V95" s="65">
        <v>8770.130000000001</v>
      </c>
      <c r="W95" s="65">
        <v>25632.080000000002</v>
      </c>
      <c r="X95" s="65">
        <v>5633.12</v>
      </c>
      <c r="Y95" s="65">
        <v>19983.29</v>
      </c>
      <c r="Z95" s="65">
        <f t="shared" si="31"/>
        <v>899</v>
      </c>
      <c r="AA95" s="65">
        <f t="shared" si="32"/>
        <v>128318.6</v>
      </c>
      <c r="AB95" s="65">
        <f t="shared" si="33"/>
        <v>27195.530000000002</v>
      </c>
      <c r="AC95" s="65">
        <f t="shared" si="34"/>
        <v>9614.09</v>
      </c>
      <c r="AD95" s="65">
        <f t="shared" si="35"/>
        <v>34111.57</v>
      </c>
      <c r="AE95" s="65">
        <f t="shared" si="36"/>
        <v>35611.230000000003</v>
      </c>
      <c r="AF95" s="65">
        <f t="shared" si="37"/>
        <v>21786.18</v>
      </c>
      <c r="AG95" s="65">
        <f t="shared" si="38"/>
        <v>899</v>
      </c>
      <c r="AH95" s="65">
        <f t="shared" si="39"/>
        <v>128318.6</v>
      </c>
      <c r="AI95" s="65">
        <v>0</v>
      </c>
      <c r="AJ95" s="65">
        <v>0</v>
      </c>
      <c r="AK95" s="65">
        <v>0</v>
      </c>
      <c r="AL95" s="65">
        <v>0</v>
      </c>
      <c r="AM95" s="65"/>
      <c r="AN95" s="65">
        <f t="shared" si="26"/>
        <v>899</v>
      </c>
      <c r="AO95" s="65">
        <f t="shared" si="27"/>
        <v>128318.6</v>
      </c>
      <c r="AP95" s="65">
        <f t="shared" si="40"/>
        <v>142.73481646273638</v>
      </c>
    </row>
    <row r="96" spans="1:42" s="57" customFormat="1">
      <c r="A96" s="86" t="s">
        <v>108</v>
      </c>
      <c r="B96" s="158" t="s">
        <v>212</v>
      </c>
      <c r="C96" s="161" t="s">
        <v>335</v>
      </c>
      <c r="D96" s="159"/>
      <c r="E96" s="65">
        <v>203</v>
      </c>
      <c r="F96" s="65">
        <f t="shared" si="28"/>
        <v>39088.11</v>
      </c>
      <c r="G96" s="65">
        <v>7057.05</v>
      </c>
      <c r="H96" s="65">
        <v>70.990000000000009</v>
      </c>
      <c r="I96" s="65">
        <v>491.23</v>
      </c>
      <c r="J96" s="65">
        <v>31229.31</v>
      </c>
      <c r="K96" s="65">
        <v>239.53</v>
      </c>
      <c r="L96" s="65">
        <v>0</v>
      </c>
      <c r="M96" s="65">
        <f t="shared" si="29"/>
        <v>0</v>
      </c>
      <c r="N96" s="65">
        <v>0</v>
      </c>
      <c r="O96" s="65">
        <v>0</v>
      </c>
      <c r="P96" s="65">
        <v>0</v>
      </c>
      <c r="Q96" s="65">
        <v>0</v>
      </c>
      <c r="R96" s="65">
        <v>0</v>
      </c>
      <c r="S96" s="65">
        <v>121</v>
      </c>
      <c r="T96" s="65">
        <f t="shared" si="30"/>
        <v>32787.879999999997</v>
      </c>
      <c r="U96" s="65">
        <v>5362.73</v>
      </c>
      <c r="V96" s="65">
        <v>1690.85</v>
      </c>
      <c r="W96" s="65">
        <v>2657.29</v>
      </c>
      <c r="X96" s="65">
        <v>19204.55</v>
      </c>
      <c r="Y96" s="65">
        <v>3872.46</v>
      </c>
      <c r="Z96" s="65">
        <f t="shared" si="31"/>
        <v>324</v>
      </c>
      <c r="AA96" s="65">
        <f t="shared" si="32"/>
        <v>71875.989999999991</v>
      </c>
      <c r="AB96" s="65">
        <f t="shared" si="33"/>
        <v>12419.779999999999</v>
      </c>
      <c r="AC96" s="65">
        <f t="shared" si="34"/>
        <v>1761.84</v>
      </c>
      <c r="AD96" s="65">
        <f t="shared" si="35"/>
        <v>3148.52</v>
      </c>
      <c r="AE96" s="65">
        <f t="shared" si="36"/>
        <v>50433.86</v>
      </c>
      <c r="AF96" s="65">
        <f t="shared" si="37"/>
        <v>4111.99</v>
      </c>
      <c r="AG96" s="65">
        <f t="shared" si="38"/>
        <v>324</v>
      </c>
      <c r="AH96" s="65">
        <f t="shared" si="39"/>
        <v>71875.989999999991</v>
      </c>
      <c r="AI96" s="65">
        <v>0</v>
      </c>
      <c r="AJ96" s="65">
        <v>0</v>
      </c>
      <c r="AK96" s="65">
        <v>0</v>
      </c>
      <c r="AL96" s="65">
        <v>0</v>
      </c>
      <c r="AM96" s="65"/>
      <c r="AN96" s="65">
        <f t="shared" si="26"/>
        <v>324</v>
      </c>
      <c r="AO96" s="65">
        <f t="shared" si="27"/>
        <v>71875.989999999991</v>
      </c>
      <c r="AP96" s="65">
        <f t="shared" si="40"/>
        <v>221.83947530864194</v>
      </c>
    </row>
    <row r="97" spans="1:43" s="57" customFormat="1">
      <c r="A97" s="86" t="s">
        <v>203</v>
      </c>
      <c r="B97" s="158" t="s">
        <v>209</v>
      </c>
      <c r="C97" s="161" t="s">
        <v>335</v>
      </c>
      <c r="D97" s="159"/>
      <c r="E97" s="65">
        <v>0</v>
      </c>
      <c r="F97" s="65">
        <f t="shared" si="28"/>
        <v>0</v>
      </c>
      <c r="G97" s="65">
        <v>0</v>
      </c>
      <c r="H97" s="65">
        <v>0</v>
      </c>
      <c r="I97" s="65">
        <v>0</v>
      </c>
      <c r="J97" s="65">
        <v>0</v>
      </c>
      <c r="K97" s="65">
        <v>0</v>
      </c>
      <c r="L97" s="65">
        <v>0</v>
      </c>
      <c r="M97" s="65">
        <f t="shared" si="29"/>
        <v>0</v>
      </c>
      <c r="N97" s="65">
        <v>0</v>
      </c>
      <c r="O97" s="65">
        <v>0</v>
      </c>
      <c r="P97" s="65">
        <v>0</v>
      </c>
      <c r="Q97" s="65">
        <v>0</v>
      </c>
      <c r="R97" s="65">
        <v>0</v>
      </c>
      <c r="S97" s="65">
        <v>1</v>
      </c>
      <c r="T97" s="65">
        <f t="shared" si="30"/>
        <v>51.59</v>
      </c>
      <c r="U97" s="65">
        <v>22.29</v>
      </c>
      <c r="V97" s="65">
        <v>0</v>
      </c>
      <c r="W97" s="65">
        <v>0</v>
      </c>
      <c r="X97" s="65">
        <v>0</v>
      </c>
      <c r="Y97" s="65">
        <v>29.3</v>
      </c>
      <c r="Z97" s="65">
        <f t="shared" si="31"/>
        <v>1</v>
      </c>
      <c r="AA97" s="65">
        <f t="shared" si="32"/>
        <v>51.59</v>
      </c>
      <c r="AB97" s="65">
        <f t="shared" si="33"/>
        <v>22.29</v>
      </c>
      <c r="AC97" s="65">
        <f t="shared" si="34"/>
        <v>0</v>
      </c>
      <c r="AD97" s="65">
        <f t="shared" si="35"/>
        <v>0</v>
      </c>
      <c r="AE97" s="65">
        <f t="shared" si="36"/>
        <v>0</v>
      </c>
      <c r="AF97" s="65">
        <f t="shared" si="37"/>
        <v>29.3</v>
      </c>
      <c r="AG97" s="65">
        <f t="shared" si="38"/>
        <v>1</v>
      </c>
      <c r="AH97" s="65">
        <f t="shared" si="39"/>
        <v>51.59</v>
      </c>
      <c r="AI97" s="65">
        <v>0</v>
      </c>
      <c r="AJ97" s="65">
        <v>0</v>
      </c>
      <c r="AK97" s="65">
        <v>0</v>
      </c>
      <c r="AL97" s="65">
        <v>0</v>
      </c>
      <c r="AM97" s="65"/>
      <c r="AN97" s="65">
        <f t="shared" si="26"/>
        <v>1</v>
      </c>
      <c r="AO97" s="65">
        <f t="shared" si="27"/>
        <v>51.59</v>
      </c>
      <c r="AP97" s="65">
        <f t="shared" si="40"/>
        <v>51.59</v>
      </c>
    </row>
    <row r="98" spans="1:43" s="57" customFormat="1">
      <c r="A98" s="86" t="s">
        <v>109</v>
      </c>
      <c r="B98" s="158" t="s">
        <v>212</v>
      </c>
      <c r="C98" s="161" t="s">
        <v>335</v>
      </c>
      <c r="D98" s="159"/>
      <c r="E98" s="65">
        <v>66</v>
      </c>
      <c r="F98" s="65">
        <f t="shared" si="28"/>
        <v>10282.56</v>
      </c>
      <c r="G98" s="65">
        <v>2570</v>
      </c>
      <c r="H98" s="65">
        <v>0</v>
      </c>
      <c r="I98" s="65">
        <v>50.550000000000004</v>
      </c>
      <c r="J98" s="65">
        <v>7550.25</v>
      </c>
      <c r="K98" s="65">
        <v>111.75999999999999</v>
      </c>
      <c r="L98" s="65">
        <v>0</v>
      </c>
      <c r="M98" s="65">
        <f t="shared" si="29"/>
        <v>0</v>
      </c>
      <c r="N98" s="65">
        <v>0</v>
      </c>
      <c r="O98" s="65">
        <v>0</v>
      </c>
      <c r="P98" s="65">
        <v>0</v>
      </c>
      <c r="Q98" s="65">
        <v>0</v>
      </c>
      <c r="R98" s="65">
        <v>0</v>
      </c>
      <c r="S98" s="65">
        <v>4</v>
      </c>
      <c r="T98" s="65">
        <f t="shared" si="30"/>
        <v>362.96999999999997</v>
      </c>
      <c r="U98" s="65">
        <v>47.33</v>
      </c>
      <c r="V98" s="65">
        <v>0</v>
      </c>
      <c r="W98" s="65">
        <v>311.47999999999996</v>
      </c>
      <c r="X98" s="65">
        <v>0</v>
      </c>
      <c r="Y98" s="65">
        <v>4.16</v>
      </c>
      <c r="Z98" s="65">
        <f t="shared" si="31"/>
        <v>70</v>
      </c>
      <c r="AA98" s="65">
        <f t="shared" si="32"/>
        <v>10645.529999999999</v>
      </c>
      <c r="AB98" s="65">
        <f t="shared" si="33"/>
        <v>2617.33</v>
      </c>
      <c r="AC98" s="65">
        <f t="shared" si="34"/>
        <v>0</v>
      </c>
      <c r="AD98" s="65">
        <f t="shared" si="35"/>
        <v>362.03</v>
      </c>
      <c r="AE98" s="65">
        <f t="shared" si="36"/>
        <v>7550.25</v>
      </c>
      <c r="AF98" s="65">
        <f t="shared" si="37"/>
        <v>115.91999999999999</v>
      </c>
      <c r="AG98" s="65">
        <f t="shared" si="38"/>
        <v>70</v>
      </c>
      <c r="AH98" s="65">
        <f t="shared" si="39"/>
        <v>10645.529999999999</v>
      </c>
      <c r="AI98" s="65">
        <v>0</v>
      </c>
      <c r="AJ98" s="65">
        <v>0</v>
      </c>
      <c r="AK98" s="65">
        <v>0</v>
      </c>
      <c r="AL98" s="65">
        <v>0</v>
      </c>
      <c r="AM98" s="65"/>
      <c r="AN98" s="65">
        <f t="shared" si="26"/>
        <v>70</v>
      </c>
      <c r="AO98" s="65">
        <f t="shared" si="27"/>
        <v>10645.529999999999</v>
      </c>
      <c r="AP98" s="65">
        <f t="shared" si="40"/>
        <v>152.07899999999998</v>
      </c>
    </row>
    <row r="99" spans="1:43" s="57" customFormat="1">
      <c r="A99" s="86" t="s">
        <v>33</v>
      </c>
      <c r="B99" s="158" t="s">
        <v>209</v>
      </c>
      <c r="C99" s="161" t="s">
        <v>336</v>
      </c>
      <c r="D99" s="159" t="s">
        <v>174</v>
      </c>
      <c r="E99" s="65">
        <v>121</v>
      </c>
      <c r="F99" s="65">
        <f t="shared" si="28"/>
        <v>38609.480000000003</v>
      </c>
      <c r="G99" s="65">
        <v>2662.57</v>
      </c>
      <c r="H99" s="65">
        <v>308.81</v>
      </c>
      <c r="I99" s="65">
        <v>663.45</v>
      </c>
      <c r="J99" s="65">
        <v>34821.35</v>
      </c>
      <c r="K99" s="65">
        <v>153.30000000000001</v>
      </c>
      <c r="L99" s="65">
        <v>65</v>
      </c>
      <c r="M99" s="65">
        <f t="shared" si="29"/>
        <v>576678</v>
      </c>
      <c r="N99" s="65">
        <v>0</v>
      </c>
      <c r="O99" s="65">
        <v>0</v>
      </c>
      <c r="P99" s="65">
        <v>0</v>
      </c>
      <c r="Q99" s="65">
        <v>576678</v>
      </c>
      <c r="R99" s="65">
        <v>0</v>
      </c>
      <c r="S99" s="65">
        <v>134</v>
      </c>
      <c r="T99" s="65">
        <f t="shared" si="30"/>
        <v>22682.59</v>
      </c>
      <c r="U99" s="65">
        <v>6209.44</v>
      </c>
      <c r="V99" s="65">
        <v>680.7</v>
      </c>
      <c r="W99" s="65">
        <v>7225.92</v>
      </c>
      <c r="X99" s="65">
        <v>5870.8</v>
      </c>
      <c r="Y99" s="65">
        <v>2695.73</v>
      </c>
      <c r="Z99" s="65">
        <f t="shared" si="31"/>
        <v>320</v>
      </c>
      <c r="AA99" s="65">
        <f t="shared" si="32"/>
        <v>637970.06999999995</v>
      </c>
      <c r="AB99" s="65">
        <f t="shared" si="33"/>
        <v>8872.01</v>
      </c>
      <c r="AC99" s="65">
        <f t="shared" si="34"/>
        <v>989.51</v>
      </c>
      <c r="AD99" s="65">
        <f t="shared" si="35"/>
        <v>7889.37</v>
      </c>
      <c r="AE99" s="65">
        <f t="shared" si="36"/>
        <v>617370.15</v>
      </c>
      <c r="AF99" s="65">
        <f t="shared" si="37"/>
        <v>2849.03</v>
      </c>
      <c r="AG99" s="65">
        <f t="shared" si="38"/>
        <v>320</v>
      </c>
      <c r="AH99" s="65">
        <f t="shared" si="39"/>
        <v>637970.06999999995</v>
      </c>
      <c r="AI99" s="65">
        <v>23674</v>
      </c>
      <c r="AJ99" s="65">
        <v>2023083.4976942684</v>
      </c>
      <c r="AK99" s="65">
        <v>0</v>
      </c>
      <c r="AL99" s="65">
        <v>0</v>
      </c>
      <c r="AM99" s="65"/>
      <c r="AN99" s="65">
        <f t="shared" si="26"/>
        <v>23994</v>
      </c>
      <c r="AO99" s="65">
        <f t="shared" si="27"/>
        <v>2661053.5676942682</v>
      </c>
      <c r="AP99" s="65">
        <f t="shared" si="40"/>
        <v>110.90495822681788</v>
      </c>
      <c r="AQ99" s="232"/>
    </row>
    <row r="100" spans="1:43" s="57" customFormat="1">
      <c r="A100" s="86" t="s">
        <v>34</v>
      </c>
      <c r="B100" s="158" t="s">
        <v>209</v>
      </c>
      <c r="C100" s="161" t="s">
        <v>336</v>
      </c>
      <c r="D100" s="159" t="s">
        <v>174</v>
      </c>
      <c r="E100" s="65">
        <v>16015</v>
      </c>
      <c r="F100" s="65">
        <f t="shared" si="28"/>
        <v>3485500.5700000008</v>
      </c>
      <c r="G100" s="114">
        <v>464059.71</v>
      </c>
      <c r="H100" s="115">
        <v>19397.059999999998</v>
      </c>
      <c r="I100" s="115">
        <v>42921.66</v>
      </c>
      <c r="J100" s="115">
        <v>2878812.9300000006</v>
      </c>
      <c r="K100" s="116">
        <v>80309.209999999992</v>
      </c>
      <c r="L100" s="65">
        <v>754</v>
      </c>
      <c r="M100" s="65">
        <f t="shared" si="29"/>
        <v>2716359.7800000003</v>
      </c>
      <c r="N100" s="65">
        <v>1097.67</v>
      </c>
      <c r="O100" s="65">
        <v>433</v>
      </c>
      <c r="P100" s="65">
        <v>193.73000000000002</v>
      </c>
      <c r="Q100" s="65">
        <v>2705335.43</v>
      </c>
      <c r="R100" s="65">
        <v>9299.9500000000007</v>
      </c>
      <c r="S100" s="65">
        <v>86813</v>
      </c>
      <c r="T100" s="65">
        <f t="shared" si="30"/>
        <v>9933956.209999999</v>
      </c>
      <c r="U100" s="117">
        <v>8657050.3100000005</v>
      </c>
      <c r="V100" s="118">
        <v>77298.039999999994</v>
      </c>
      <c r="W100" s="118">
        <v>426411.49</v>
      </c>
      <c r="X100" s="118">
        <v>459994.12000000005</v>
      </c>
      <c r="Y100" s="119">
        <v>313202.25</v>
      </c>
      <c r="Z100" s="65">
        <f t="shared" si="31"/>
        <v>103582</v>
      </c>
      <c r="AA100" s="65">
        <f t="shared" si="32"/>
        <v>16135816.560000001</v>
      </c>
      <c r="AB100" s="65">
        <f t="shared" si="33"/>
        <v>9122207.6900000013</v>
      </c>
      <c r="AC100" s="65">
        <f t="shared" si="34"/>
        <v>97128.099999999991</v>
      </c>
      <c r="AD100" s="65">
        <f t="shared" si="35"/>
        <v>469526.88</v>
      </c>
      <c r="AE100" s="65">
        <f t="shared" si="36"/>
        <v>6044142.4800000014</v>
      </c>
      <c r="AF100" s="65">
        <f t="shared" si="37"/>
        <v>402811.41</v>
      </c>
      <c r="AG100" s="65">
        <f t="shared" si="38"/>
        <v>103582</v>
      </c>
      <c r="AH100" s="65">
        <f t="shared" si="39"/>
        <v>16135816.560000001</v>
      </c>
      <c r="AI100" s="65">
        <v>0</v>
      </c>
      <c r="AJ100" s="65">
        <v>0</v>
      </c>
      <c r="AK100" s="65">
        <v>0</v>
      </c>
      <c r="AL100" s="65">
        <v>0</v>
      </c>
      <c r="AM100" s="65">
        <v>667499.03745880607</v>
      </c>
      <c r="AN100" s="65">
        <f t="shared" si="26"/>
        <v>103582</v>
      </c>
      <c r="AO100" s="65">
        <f t="shared" si="27"/>
        <v>16135816.560000001</v>
      </c>
      <c r="AP100" s="65">
        <f t="shared" si="40"/>
        <v>155.7781908053523</v>
      </c>
    </row>
    <row r="101" spans="1:43" s="57" customFormat="1">
      <c r="A101" s="132" t="s">
        <v>304</v>
      </c>
      <c r="B101" s="161" t="s">
        <v>213</v>
      </c>
      <c r="C101" s="161" t="s">
        <v>335</v>
      </c>
      <c r="D101" s="159"/>
      <c r="E101" s="65">
        <v>0</v>
      </c>
      <c r="F101" s="65">
        <f t="shared" si="28"/>
        <v>0</v>
      </c>
      <c r="G101" s="196">
        <v>0</v>
      </c>
      <c r="H101" s="197">
        <v>0</v>
      </c>
      <c r="I101" s="197">
        <v>0</v>
      </c>
      <c r="J101" s="197">
        <v>0</v>
      </c>
      <c r="K101" s="198">
        <v>0</v>
      </c>
      <c r="L101" s="65">
        <v>0</v>
      </c>
      <c r="M101" s="65">
        <f t="shared" si="29"/>
        <v>0</v>
      </c>
      <c r="N101" s="65">
        <v>0</v>
      </c>
      <c r="O101" s="65">
        <v>0</v>
      </c>
      <c r="P101" s="65">
        <v>0</v>
      </c>
      <c r="Q101" s="65">
        <v>0</v>
      </c>
      <c r="R101" s="65">
        <v>0</v>
      </c>
      <c r="S101" s="65">
        <v>0</v>
      </c>
      <c r="T101" s="65">
        <f t="shared" si="30"/>
        <v>0</v>
      </c>
      <c r="U101" s="199">
        <v>0</v>
      </c>
      <c r="V101" s="200">
        <v>0</v>
      </c>
      <c r="W101" s="200">
        <v>0</v>
      </c>
      <c r="X101" s="200">
        <v>0</v>
      </c>
      <c r="Y101" s="201">
        <v>0</v>
      </c>
      <c r="Z101" s="65">
        <f t="shared" si="31"/>
        <v>0</v>
      </c>
      <c r="AA101" s="65">
        <f t="shared" si="32"/>
        <v>0</v>
      </c>
      <c r="AB101" s="65">
        <f t="shared" si="33"/>
        <v>0</v>
      </c>
      <c r="AC101" s="65">
        <f t="shared" si="34"/>
        <v>0</v>
      </c>
      <c r="AD101" s="65">
        <f t="shared" si="35"/>
        <v>0</v>
      </c>
      <c r="AE101" s="65">
        <f t="shared" si="36"/>
        <v>0</v>
      </c>
      <c r="AF101" s="65">
        <f t="shared" si="37"/>
        <v>0</v>
      </c>
      <c r="AG101" s="65">
        <f t="shared" si="38"/>
        <v>0</v>
      </c>
      <c r="AH101" s="65">
        <f t="shared" si="39"/>
        <v>0</v>
      </c>
      <c r="AI101" s="65">
        <v>0</v>
      </c>
      <c r="AJ101" s="65">
        <v>0</v>
      </c>
      <c r="AK101" s="65">
        <v>0</v>
      </c>
      <c r="AL101" s="65">
        <v>0</v>
      </c>
      <c r="AM101" s="65"/>
      <c r="AN101" s="65">
        <f t="shared" si="26"/>
        <v>0</v>
      </c>
      <c r="AO101" s="65">
        <f t="shared" si="27"/>
        <v>0</v>
      </c>
      <c r="AP101" s="65" t="e">
        <f t="shared" si="40"/>
        <v>#DIV/0!</v>
      </c>
    </row>
    <row r="102" spans="1:43" s="57" customFormat="1">
      <c r="A102" s="86" t="s">
        <v>152</v>
      </c>
      <c r="B102" s="158" t="s">
        <v>209</v>
      </c>
      <c r="C102" s="161" t="s">
        <v>335</v>
      </c>
      <c r="D102" s="159"/>
      <c r="E102" s="65">
        <v>2702</v>
      </c>
      <c r="F102" s="65">
        <f t="shared" si="28"/>
        <v>626496.22</v>
      </c>
      <c r="G102" s="65">
        <v>88986.29</v>
      </c>
      <c r="H102" s="65">
        <v>2239.1099999999997</v>
      </c>
      <c r="I102" s="65">
        <v>4173.03</v>
      </c>
      <c r="J102" s="65">
        <v>527904</v>
      </c>
      <c r="K102" s="65">
        <v>3193.79</v>
      </c>
      <c r="L102" s="65">
        <v>19</v>
      </c>
      <c r="M102" s="65">
        <f t="shared" si="29"/>
        <v>30764.519999999997</v>
      </c>
      <c r="N102" s="65">
        <v>0</v>
      </c>
      <c r="O102" s="65">
        <v>0</v>
      </c>
      <c r="P102" s="65">
        <v>0</v>
      </c>
      <c r="Q102" s="65">
        <v>30755.42</v>
      </c>
      <c r="R102" s="65">
        <v>9.1</v>
      </c>
      <c r="S102" s="65">
        <v>399</v>
      </c>
      <c r="T102" s="65">
        <f t="shared" si="30"/>
        <v>125019.10999999999</v>
      </c>
      <c r="U102" s="65">
        <v>24345.629999999997</v>
      </c>
      <c r="V102" s="65">
        <v>6214.15</v>
      </c>
      <c r="W102" s="65">
        <v>19196.62</v>
      </c>
      <c r="X102" s="65">
        <v>57849.06</v>
      </c>
      <c r="Y102" s="65">
        <v>17413.650000000001</v>
      </c>
      <c r="Z102" s="65">
        <f t="shared" si="31"/>
        <v>3120</v>
      </c>
      <c r="AA102" s="65">
        <f t="shared" si="32"/>
        <v>782279.85</v>
      </c>
      <c r="AB102" s="65">
        <f t="shared" si="33"/>
        <v>113331.91999999998</v>
      </c>
      <c r="AC102" s="65">
        <f t="shared" si="34"/>
        <v>8453.2599999999984</v>
      </c>
      <c r="AD102" s="65">
        <f t="shared" si="35"/>
        <v>23369.649999999998</v>
      </c>
      <c r="AE102" s="65">
        <f t="shared" si="36"/>
        <v>616508.48</v>
      </c>
      <c r="AF102" s="65">
        <f t="shared" si="37"/>
        <v>20616.54</v>
      </c>
      <c r="AG102" s="65">
        <f t="shared" si="38"/>
        <v>3120</v>
      </c>
      <c r="AH102" s="65">
        <f t="shared" si="39"/>
        <v>782279.85</v>
      </c>
      <c r="AI102" s="65">
        <v>0</v>
      </c>
      <c r="AJ102" s="65">
        <v>0</v>
      </c>
      <c r="AK102" s="65">
        <v>0</v>
      </c>
      <c r="AL102" s="65">
        <v>0</v>
      </c>
      <c r="AM102" s="65"/>
      <c r="AN102" s="65">
        <f t="shared" si="26"/>
        <v>3120</v>
      </c>
      <c r="AO102" s="65">
        <f t="shared" si="27"/>
        <v>782279.85</v>
      </c>
      <c r="AP102" s="65">
        <f t="shared" si="40"/>
        <v>250.73072115384613</v>
      </c>
    </row>
    <row r="103" spans="1:43" s="57" customFormat="1">
      <c r="A103" s="86" t="s">
        <v>110</v>
      </c>
      <c r="B103" s="158" t="s">
        <v>209</v>
      </c>
      <c r="C103" s="161" t="s">
        <v>336</v>
      </c>
      <c r="D103" s="159" t="s">
        <v>174</v>
      </c>
      <c r="E103" s="65">
        <v>15</v>
      </c>
      <c r="F103" s="65">
        <f t="shared" si="28"/>
        <v>15220.109999999999</v>
      </c>
      <c r="G103" s="65">
        <v>398.73</v>
      </c>
      <c r="H103" s="65">
        <v>0</v>
      </c>
      <c r="I103" s="65">
        <v>1806.4199999999998</v>
      </c>
      <c r="J103" s="65">
        <v>12094.97</v>
      </c>
      <c r="K103" s="65">
        <v>919.99</v>
      </c>
      <c r="L103" s="65">
        <v>2</v>
      </c>
      <c r="M103" s="65">
        <f t="shared" si="29"/>
        <v>8037.51</v>
      </c>
      <c r="N103" s="65">
        <v>0</v>
      </c>
      <c r="O103" s="65">
        <v>0</v>
      </c>
      <c r="P103" s="65">
        <v>0</v>
      </c>
      <c r="Q103" s="65">
        <v>8037.51</v>
      </c>
      <c r="R103" s="65">
        <v>0</v>
      </c>
      <c r="S103" s="65">
        <v>76</v>
      </c>
      <c r="T103" s="65">
        <f t="shared" si="30"/>
        <v>6671.02</v>
      </c>
      <c r="U103" s="65">
        <v>2158.9700000000003</v>
      </c>
      <c r="V103" s="65">
        <v>607.35</v>
      </c>
      <c r="W103" s="65">
        <v>1332.06</v>
      </c>
      <c r="X103" s="65">
        <v>0</v>
      </c>
      <c r="Y103" s="65">
        <v>2572.64</v>
      </c>
      <c r="Z103" s="65">
        <f t="shared" si="31"/>
        <v>93</v>
      </c>
      <c r="AA103" s="65">
        <f t="shared" si="32"/>
        <v>29928.639999999999</v>
      </c>
      <c r="AB103" s="65">
        <f t="shared" si="33"/>
        <v>2557.7000000000003</v>
      </c>
      <c r="AC103" s="65">
        <f t="shared" si="34"/>
        <v>607.35</v>
      </c>
      <c r="AD103" s="65">
        <f t="shared" si="35"/>
        <v>3138.4799999999996</v>
      </c>
      <c r="AE103" s="65">
        <f t="shared" si="36"/>
        <v>20132.48</v>
      </c>
      <c r="AF103" s="65">
        <f t="shared" si="37"/>
        <v>3492.63</v>
      </c>
      <c r="AG103" s="65">
        <f t="shared" si="38"/>
        <v>93</v>
      </c>
      <c r="AH103" s="65">
        <f t="shared" si="39"/>
        <v>29928.639999999999</v>
      </c>
      <c r="AI103" s="65">
        <v>0</v>
      </c>
      <c r="AJ103" s="65">
        <v>0</v>
      </c>
      <c r="AK103" s="65">
        <v>0</v>
      </c>
      <c r="AL103" s="65">
        <v>0</v>
      </c>
      <c r="AM103" s="65"/>
      <c r="AN103" s="65">
        <f t="shared" si="26"/>
        <v>93</v>
      </c>
      <c r="AO103" s="65">
        <f t="shared" si="27"/>
        <v>29928.639999999999</v>
      </c>
      <c r="AP103" s="65">
        <f t="shared" si="40"/>
        <v>321.81333333333333</v>
      </c>
    </row>
    <row r="104" spans="1:43" s="57" customFormat="1">
      <c r="A104" s="86" t="s">
        <v>111</v>
      </c>
      <c r="B104" s="158" t="s">
        <v>211</v>
      </c>
      <c r="C104" s="161" t="s">
        <v>335</v>
      </c>
      <c r="D104" s="159"/>
      <c r="E104" s="65">
        <v>1267</v>
      </c>
      <c r="F104" s="65">
        <f t="shared" si="28"/>
        <v>265236.61</v>
      </c>
      <c r="G104" s="65">
        <v>62863.87</v>
      </c>
      <c r="H104" s="65">
        <v>1735.89</v>
      </c>
      <c r="I104" s="65">
        <v>2925.4100000000003</v>
      </c>
      <c r="J104" s="65">
        <v>194405.84999999998</v>
      </c>
      <c r="K104" s="65">
        <v>3305.59</v>
      </c>
      <c r="L104" s="65">
        <v>5</v>
      </c>
      <c r="M104" s="65">
        <f t="shared" si="29"/>
        <v>1488.1399999999999</v>
      </c>
      <c r="N104" s="65">
        <v>79.009999999999991</v>
      </c>
      <c r="O104" s="65">
        <v>0</v>
      </c>
      <c r="P104" s="65">
        <v>102.58</v>
      </c>
      <c r="Q104" s="65">
        <v>1306.55</v>
      </c>
      <c r="R104" s="65">
        <v>0</v>
      </c>
      <c r="S104" s="65">
        <v>423</v>
      </c>
      <c r="T104" s="65">
        <f t="shared" si="30"/>
        <v>292746.57999999996</v>
      </c>
      <c r="U104" s="65">
        <v>30479.439999999999</v>
      </c>
      <c r="V104" s="65">
        <v>6188.15</v>
      </c>
      <c r="W104" s="65">
        <v>54473.46</v>
      </c>
      <c r="X104" s="65">
        <v>169083.21</v>
      </c>
      <c r="Y104" s="65">
        <v>32522.32</v>
      </c>
      <c r="Z104" s="65">
        <f t="shared" si="31"/>
        <v>1695</v>
      </c>
      <c r="AA104" s="65">
        <f t="shared" si="32"/>
        <v>559471.32999999996</v>
      </c>
      <c r="AB104" s="65">
        <f t="shared" si="33"/>
        <v>93422.32</v>
      </c>
      <c r="AC104" s="65">
        <f t="shared" si="34"/>
        <v>7924.04</v>
      </c>
      <c r="AD104" s="65">
        <f t="shared" si="35"/>
        <v>57501.45</v>
      </c>
      <c r="AE104" s="65">
        <f t="shared" si="36"/>
        <v>364795.61</v>
      </c>
      <c r="AF104" s="65">
        <f t="shared" si="37"/>
        <v>35827.910000000003</v>
      </c>
      <c r="AG104" s="65">
        <f t="shared" si="38"/>
        <v>1695</v>
      </c>
      <c r="AH104" s="65">
        <f t="shared" si="39"/>
        <v>559471.32999999996</v>
      </c>
      <c r="AI104" s="65">
        <v>0</v>
      </c>
      <c r="AJ104" s="65">
        <v>0</v>
      </c>
      <c r="AK104" s="65">
        <v>0</v>
      </c>
      <c r="AL104" s="65">
        <v>0</v>
      </c>
      <c r="AM104" s="65"/>
      <c r="AN104" s="65">
        <f t="shared" si="26"/>
        <v>1695</v>
      </c>
      <c r="AO104" s="65">
        <f t="shared" si="27"/>
        <v>559471.32999999996</v>
      </c>
      <c r="AP104" s="65">
        <f t="shared" si="40"/>
        <v>330.0715811209439</v>
      </c>
    </row>
    <row r="105" spans="1:43" s="57" customFormat="1">
      <c r="A105" s="132" t="s">
        <v>204</v>
      </c>
      <c r="B105" s="161" t="s">
        <v>213</v>
      </c>
      <c r="C105" s="161" t="s">
        <v>335</v>
      </c>
      <c r="D105" s="159"/>
      <c r="E105" s="65">
        <v>1</v>
      </c>
      <c r="F105" s="65">
        <f t="shared" si="28"/>
        <v>49.99</v>
      </c>
      <c r="G105" s="65">
        <v>49.99</v>
      </c>
      <c r="H105" s="65">
        <v>0</v>
      </c>
      <c r="I105" s="65">
        <v>0</v>
      </c>
      <c r="J105" s="65">
        <v>0</v>
      </c>
      <c r="K105" s="65">
        <v>0</v>
      </c>
      <c r="L105" s="65">
        <v>0</v>
      </c>
      <c r="M105" s="65">
        <f t="shared" si="29"/>
        <v>0</v>
      </c>
      <c r="N105" s="65">
        <v>0</v>
      </c>
      <c r="O105" s="65">
        <v>0</v>
      </c>
      <c r="P105" s="65">
        <v>0</v>
      </c>
      <c r="Q105" s="65">
        <v>0</v>
      </c>
      <c r="R105" s="65">
        <v>0</v>
      </c>
      <c r="S105" s="65">
        <v>0</v>
      </c>
      <c r="T105" s="65">
        <f t="shared" si="30"/>
        <v>0</v>
      </c>
      <c r="U105" s="65">
        <v>0</v>
      </c>
      <c r="V105" s="65">
        <v>0</v>
      </c>
      <c r="W105" s="65">
        <v>0</v>
      </c>
      <c r="X105" s="65">
        <v>0</v>
      </c>
      <c r="Y105" s="65">
        <v>0</v>
      </c>
      <c r="Z105" s="65">
        <f t="shared" si="31"/>
        <v>1</v>
      </c>
      <c r="AA105" s="65">
        <f t="shared" si="32"/>
        <v>49.99</v>
      </c>
      <c r="AB105" s="65">
        <f t="shared" si="33"/>
        <v>49.99</v>
      </c>
      <c r="AC105" s="65">
        <f t="shared" si="34"/>
        <v>0</v>
      </c>
      <c r="AD105" s="65">
        <f t="shared" si="35"/>
        <v>0</v>
      </c>
      <c r="AE105" s="65">
        <f t="shared" si="36"/>
        <v>0</v>
      </c>
      <c r="AF105" s="65">
        <f t="shared" si="37"/>
        <v>0</v>
      </c>
      <c r="AG105" s="65">
        <f t="shared" si="38"/>
        <v>1</v>
      </c>
      <c r="AH105" s="65">
        <f t="shared" si="39"/>
        <v>49.99</v>
      </c>
      <c r="AI105" s="65">
        <v>0</v>
      </c>
      <c r="AJ105" s="65">
        <v>0</v>
      </c>
      <c r="AK105" s="65">
        <v>0</v>
      </c>
      <c r="AL105" s="65">
        <v>0</v>
      </c>
      <c r="AM105" s="65"/>
      <c r="AN105" s="65">
        <f t="shared" si="26"/>
        <v>1</v>
      </c>
      <c r="AO105" s="65">
        <f t="shared" si="27"/>
        <v>49.99</v>
      </c>
      <c r="AP105" s="65">
        <f t="shared" si="40"/>
        <v>49.99</v>
      </c>
    </row>
    <row r="106" spans="1:43" s="57" customFormat="1">
      <c r="A106" s="86" t="s">
        <v>112</v>
      </c>
      <c r="B106" s="158" t="s">
        <v>210</v>
      </c>
      <c r="C106" s="161" t="s">
        <v>335</v>
      </c>
      <c r="D106" s="159"/>
      <c r="E106" s="65">
        <v>7</v>
      </c>
      <c r="F106" s="65">
        <f t="shared" si="28"/>
        <v>1292.1299999999999</v>
      </c>
      <c r="G106" s="65">
        <v>24.5</v>
      </c>
      <c r="H106" s="65">
        <v>1261.53</v>
      </c>
      <c r="I106" s="65">
        <v>0</v>
      </c>
      <c r="J106" s="65">
        <v>0</v>
      </c>
      <c r="K106" s="65">
        <v>6.1</v>
      </c>
      <c r="L106" s="65">
        <v>0</v>
      </c>
      <c r="M106" s="65">
        <f t="shared" si="29"/>
        <v>0</v>
      </c>
      <c r="N106" s="65">
        <v>0</v>
      </c>
      <c r="O106" s="65">
        <v>0</v>
      </c>
      <c r="P106" s="65">
        <v>0</v>
      </c>
      <c r="Q106" s="65">
        <v>0</v>
      </c>
      <c r="R106" s="65">
        <v>0</v>
      </c>
      <c r="S106" s="65">
        <v>2</v>
      </c>
      <c r="T106" s="65">
        <f t="shared" si="30"/>
        <v>195.76000000000002</v>
      </c>
      <c r="U106" s="65">
        <v>29.34</v>
      </c>
      <c r="V106" s="65">
        <v>152.93</v>
      </c>
      <c r="W106" s="65">
        <v>13.49</v>
      </c>
      <c r="X106" s="65">
        <v>0</v>
      </c>
      <c r="Y106" s="65">
        <v>0</v>
      </c>
      <c r="Z106" s="65">
        <f t="shared" si="31"/>
        <v>9</v>
      </c>
      <c r="AA106" s="65">
        <f t="shared" si="32"/>
        <v>1487.8899999999999</v>
      </c>
      <c r="AB106" s="65">
        <f t="shared" si="33"/>
        <v>53.84</v>
      </c>
      <c r="AC106" s="65">
        <f t="shared" si="34"/>
        <v>1414.46</v>
      </c>
      <c r="AD106" s="65">
        <f t="shared" si="35"/>
        <v>13.49</v>
      </c>
      <c r="AE106" s="65">
        <f t="shared" si="36"/>
        <v>0</v>
      </c>
      <c r="AF106" s="65">
        <f t="shared" si="37"/>
        <v>6.1</v>
      </c>
      <c r="AG106" s="65">
        <f t="shared" si="38"/>
        <v>9</v>
      </c>
      <c r="AH106" s="65">
        <f t="shared" si="39"/>
        <v>1487.8899999999999</v>
      </c>
      <c r="AI106" s="65">
        <v>0</v>
      </c>
      <c r="AJ106" s="65">
        <v>0</v>
      </c>
      <c r="AK106" s="65">
        <v>0</v>
      </c>
      <c r="AL106" s="65">
        <v>0</v>
      </c>
      <c r="AM106" s="65"/>
      <c r="AN106" s="65">
        <f t="shared" si="26"/>
        <v>9</v>
      </c>
      <c r="AO106" s="65">
        <f t="shared" si="27"/>
        <v>1487.8899999999999</v>
      </c>
      <c r="AP106" s="65">
        <f t="shared" si="40"/>
        <v>165.32111111111109</v>
      </c>
    </row>
    <row r="107" spans="1:43" s="57" customFormat="1">
      <c r="A107" s="86" t="s">
        <v>113</v>
      </c>
      <c r="B107" s="158" t="s">
        <v>210</v>
      </c>
      <c r="C107" s="161" t="s">
        <v>336</v>
      </c>
      <c r="D107" s="159" t="s">
        <v>174</v>
      </c>
      <c r="E107" s="65">
        <v>29</v>
      </c>
      <c r="F107" s="65">
        <f t="shared" si="28"/>
        <v>7670.2199999999993</v>
      </c>
      <c r="G107" s="65">
        <v>53.29</v>
      </c>
      <c r="H107" s="65">
        <v>0</v>
      </c>
      <c r="I107" s="65">
        <v>4.03</v>
      </c>
      <c r="J107" s="65">
        <v>3619.18</v>
      </c>
      <c r="K107" s="65">
        <v>3993.72</v>
      </c>
      <c r="L107" s="65">
        <v>0</v>
      </c>
      <c r="M107" s="65">
        <f t="shared" si="29"/>
        <v>0</v>
      </c>
      <c r="N107" s="65">
        <v>0</v>
      </c>
      <c r="O107" s="65">
        <v>0</v>
      </c>
      <c r="P107" s="65">
        <v>0</v>
      </c>
      <c r="Q107" s="65">
        <v>0</v>
      </c>
      <c r="R107" s="65">
        <v>0</v>
      </c>
      <c r="S107" s="65">
        <v>1</v>
      </c>
      <c r="T107" s="65">
        <f t="shared" si="30"/>
        <v>100.59</v>
      </c>
      <c r="U107" s="65">
        <v>100.59</v>
      </c>
      <c r="V107" s="65">
        <v>0</v>
      </c>
      <c r="W107" s="65">
        <v>0</v>
      </c>
      <c r="X107" s="65">
        <v>0</v>
      </c>
      <c r="Y107" s="65">
        <v>0</v>
      </c>
      <c r="Z107" s="65">
        <f t="shared" si="31"/>
        <v>30</v>
      </c>
      <c r="AA107" s="65">
        <f t="shared" si="32"/>
        <v>7770.8099999999995</v>
      </c>
      <c r="AB107" s="65">
        <f t="shared" si="33"/>
        <v>153.88</v>
      </c>
      <c r="AC107" s="65">
        <f t="shared" si="34"/>
        <v>0</v>
      </c>
      <c r="AD107" s="65">
        <f t="shared" si="35"/>
        <v>4.03</v>
      </c>
      <c r="AE107" s="65">
        <f t="shared" si="36"/>
        <v>3619.18</v>
      </c>
      <c r="AF107" s="65">
        <f t="shared" si="37"/>
        <v>3993.72</v>
      </c>
      <c r="AG107" s="65">
        <f t="shared" si="38"/>
        <v>30</v>
      </c>
      <c r="AH107" s="65">
        <f t="shared" si="39"/>
        <v>7770.8099999999995</v>
      </c>
      <c r="AI107" s="65">
        <v>0</v>
      </c>
      <c r="AJ107" s="65">
        <v>0</v>
      </c>
      <c r="AK107" s="65">
        <v>0</v>
      </c>
      <c r="AL107" s="65">
        <v>0</v>
      </c>
      <c r="AM107" s="65"/>
      <c r="AN107" s="65">
        <f t="shared" si="26"/>
        <v>30</v>
      </c>
      <c r="AO107" s="65">
        <f t="shared" si="27"/>
        <v>7770.8099999999995</v>
      </c>
      <c r="AP107" s="65">
        <f t="shared" si="40"/>
        <v>259.02699999999999</v>
      </c>
    </row>
    <row r="108" spans="1:43" s="57" customFormat="1">
      <c r="A108" s="86" t="s">
        <v>114</v>
      </c>
      <c r="B108" s="158" t="s">
        <v>212</v>
      </c>
      <c r="C108" s="161" t="s">
        <v>335</v>
      </c>
      <c r="D108" s="159"/>
      <c r="E108" s="65">
        <v>27</v>
      </c>
      <c r="F108" s="65">
        <f t="shared" si="28"/>
        <v>5649.1100000000006</v>
      </c>
      <c r="G108" s="65">
        <v>1410.97</v>
      </c>
      <c r="H108" s="65">
        <v>134.93</v>
      </c>
      <c r="I108" s="65">
        <v>164.79</v>
      </c>
      <c r="J108" s="65">
        <v>3753.58</v>
      </c>
      <c r="K108" s="65">
        <v>184.84</v>
      </c>
      <c r="L108" s="65">
        <v>0</v>
      </c>
      <c r="M108" s="65">
        <f t="shared" si="29"/>
        <v>0</v>
      </c>
      <c r="N108" s="65">
        <v>0</v>
      </c>
      <c r="O108" s="65">
        <v>0</v>
      </c>
      <c r="P108" s="65">
        <v>0</v>
      </c>
      <c r="Q108" s="65">
        <v>0</v>
      </c>
      <c r="R108" s="65">
        <v>0</v>
      </c>
      <c r="S108" s="65">
        <v>1</v>
      </c>
      <c r="T108" s="65">
        <f t="shared" si="30"/>
        <v>65.81</v>
      </c>
      <c r="U108" s="65">
        <v>32.200000000000003</v>
      </c>
      <c r="V108" s="65">
        <v>0</v>
      </c>
      <c r="W108" s="65">
        <v>33.61</v>
      </c>
      <c r="X108" s="65">
        <v>0</v>
      </c>
      <c r="Y108" s="65">
        <v>0</v>
      </c>
      <c r="Z108" s="65">
        <f t="shared" si="31"/>
        <v>28</v>
      </c>
      <c r="AA108" s="65">
        <f t="shared" si="32"/>
        <v>5714.920000000001</v>
      </c>
      <c r="AB108" s="65">
        <f t="shared" si="33"/>
        <v>1443.17</v>
      </c>
      <c r="AC108" s="65">
        <f t="shared" si="34"/>
        <v>134.93</v>
      </c>
      <c r="AD108" s="65">
        <f t="shared" si="35"/>
        <v>198.39999999999998</v>
      </c>
      <c r="AE108" s="65">
        <f t="shared" si="36"/>
        <v>3753.58</v>
      </c>
      <c r="AF108" s="65">
        <f t="shared" si="37"/>
        <v>184.84</v>
      </c>
      <c r="AG108" s="65">
        <f t="shared" si="38"/>
        <v>28</v>
      </c>
      <c r="AH108" s="65">
        <f t="shared" si="39"/>
        <v>5714.920000000001</v>
      </c>
      <c r="AI108" s="65">
        <v>0</v>
      </c>
      <c r="AJ108" s="65">
        <v>0</v>
      </c>
      <c r="AK108" s="65">
        <v>0</v>
      </c>
      <c r="AL108" s="65">
        <v>0</v>
      </c>
      <c r="AM108" s="65"/>
      <c r="AN108" s="65">
        <f t="shared" si="26"/>
        <v>28</v>
      </c>
      <c r="AO108" s="65">
        <f t="shared" si="27"/>
        <v>5714.920000000001</v>
      </c>
      <c r="AP108" s="65">
        <f t="shared" si="40"/>
        <v>204.10428571428574</v>
      </c>
    </row>
    <row r="109" spans="1:43" s="57" customFormat="1">
      <c r="A109" s="86" t="s">
        <v>115</v>
      </c>
      <c r="B109" s="158" t="s">
        <v>210</v>
      </c>
      <c r="C109" s="161" t="s">
        <v>336</v>
      </c>
      <c r="D109" s="159" t="s">
        <v>174</v>
      </c>
      <c r="E109" s="65">
        <v>74</v>
      </c>
      <c r="F109" s="65">
        <f t="shared" si="28"/>
        <v>9245.6200000000008</v>
      </c>
      <c r="G109" s="65">
        <v>1685.64</v>
      </c>
      <c r="H109" s="65">
        <v>162.19</v>
      </c>
      <c r="I109" s="65">
        <v>72.97</v>
      </c>
      <c r="J109" s="65">
        <v>7164.95</v>
      </c>
      <c r="K109" s="65">
        <v>159.87</v>
      </c>
      <c r="L109" s="65">
        <v>0</v>
      </c>
      <c r="M109" s="65">
        <f t="shared" si="29"/>
        <v>0</v>
      </c>
      <c r="N109" s="65">
        <v>0</v>
      </c>
      <c r="O109" s="65">
        <v>0</v>
      </c>
      <c r="P109" s="65">
        <v>0</v>
      </c>
      <c r="Q109" s="65">
        <v>0</v>
      </c>
      <c r="R109" s="65">
        <v>0</v>
      </c>
      <c r="S109" s="65">
        <v>3</v>
      </c>
      <c r="T109" s="65">
        <f t="shared" si="30"/>
        <v>371.59000000000003</v>
      </c>
      <c r="U109" s="65">
        <v>226.8</v>
      </c>
      <c r="V109" s="65">
        <v>43.65</v>
      </c>
      <c r="W109" s="65">
        <v>85.54</v>
      </c>
      <c r="X109" s="65">
        <v>0</v>
      </c>
      <c r="Y109" s="65">
        <v>15.6</v>
      </c>
      <c r="Z109" s="65">
        <f t="shared" si="31"/>
        <v>77</v>
      </c>
      <c r="AA109" s="65">
        <f t="shared" si="32"/>
        <v>9617.2100000000009</v>
      </c>
      <c r="AB109" s="65">
        <f t="shared" si="33"/>
        <v>1912.44</v>
      </c>
      <c r="AC109" s="65">
        <f t="shared" si="34"/>
        <v>205.84</v>
      </c>
      <c r="AD109" s="65">
        <f t="shared" si="35"/>
        <v>158.51</v>
      </c>
      <c r="AE109" s="65">
        <f t="shared" si="36"/>
        <v>7164.95</v>
      </c>
      <c r="AF109" s="65">
        <f t="shared" si="37"/>
        <v>175.47</v>
      </c>
      <c r="AG109" s="65">
        <f t="shared" si="38"/>
        <v>77</v>
      </c>
      <c r="AH109" s="65">
        <f t="shared" si="39"/>
        <v>9617.2100000000009</v>
      </c>
      <c r="AI109" s="65">
        <v>0</v>
      </c>
      <c r="AJ109" s="65">
        <v>0</v>
      </c>
      <c r="AK109" s="65">
        <v>0</v>
      </c>
      <c r="AL109" s="65">
        <v>0</v>
      </c>
      <c r="AM109" s="65"/>
      <c r="AN109" s="65">
        <f t="shared" si="26"/>
        <v>77</v>
      </c>
      <c r="AO109" s="65">
        <f t="shared" si="27"/>
        <v>9617.2100000000009</v>
      </c>
      <c r="AP109" s="65">
        <f t="shared" si="40"/>
        <v>124.89883116883118</v>
      </c>
    </row>
    <row r="110" spans="1:43" s="57" customFormat="1">
      <c r="A110" s="86" t="s">
        <v>116</v>
      </c>
      <c r="B110" s="158" t="s">
        <v>209</v>
      </c>
      <c r="C110" s="161" t="s">
        <v>335</v>
      </c>
      <c r="D110" s="159"/>
      <c r="E110" s="65">
        <v>9</v>
      </c>
      <c r="F110" s="65">
        <f t="shared" si="28"/>
        <v>317.79000000000002</v>
      </c>
      <c r="G110" s="65">
        <v>304.65000000000003</v>
      </c>
      <c r="H110" s="65">
        <v>0</v>
      </c>
      <c r="I110" s="65">
        <v>13.14</v>
      </c>
      <c r="J110" s="65">
        <v>0</v>
      </c>
      <c r="K110" s="65">
        <v>0</v>
      </c>
      <c r="L110" s="65">
        <v>0</v>
      </c>
      <c r="M110" s="65">
        <f t="shared" si="29"/>
        <v>0</v>
      </c>
      <c r="N110" s="65">
        <v>0</v>
      </c>
      <c r="O110" s="65">
        <v>0</v>
      </c>
      <c r="P110" s="65">
        <v>0</v>
      </c>
      <c r="Q110" s="65">
        <v>0</v>
      </c>
      <c r="R110" s="65">
        <v>0</v>
      </c>
      <c r="S110" s="65">
        <v>30</v>
      </c>
      <c r="T110" s="65">
        <f t="shared" si="30"/>
        <v>3728.4399999999996</v>
      </c>
      <c r="U110" s="65">
        <v>935.69</v>
      </c>
      <c r="V110" s="65">
        <v>240.04</v>
      </c>
      <c r="W110" s="65">
        <v>553.33000000000004</v>
      </c>
      <c r="X110" s="65">
        <v>933.3</v>
      </c>
      <c r="Y110" s="65">
        <v>1066.08</v>
      </c>
      <c r="Z110" s="65">
        <f t="shared" si="31"/>
        <v>39</v>
      </c>
      <c r="AA110" s="65">
        <f t="shared" si="32"/>
        <v>4046.2299999999996</v>
      </c>
      <c r="AB110" s="65">
        <f t="shared" si="33"/>
        <v>1240.3400000000001</v>
      </c>
      <c r="AC110" s="65">
        <f t="shared" si="34"/>
        <v>240.04</v>
      </c>
      <c r="AD110" s="65">
        <f t="shared" si="35"/>
        <v>566.47</v>
      </c>
      <c r="AE110" s="65">
        <f t="shared" si="36"/>
        <v>933.3</v>
      </c>
      <c r="AF110" s="65">
        <f t="shared" si="37"/>
        <v>1066.08</v>
      </c>
      <c r="AG110" s="65">
        <f t="shared" si="38"/>
        <v>39</v>
      </c>
      <c r="AH110" s="65">
        <f t="shared" si="39"/>
        <v>4046.2299999999996</v>
      </c>
      <c r="AI110" s="65">
        <v>0</v>
      </c>
      <c r="AJ110" s="65">
        <v>0</v>
      </c>
      <c r="AK110" s="65">
        <v>0</v>
      </c>
      <c r="AL110" s="65">
        <v>0</v>
      </c>
      <c r="AM110" s="65"/>
      <c r="AN110" s="65">
        <f t="shared" si="26"/>
        <v>39</v>
      </c>
      <c r="AO110" s="65">
        <f t="shared" si="27"/>
        <v>4046.2299999999996</v>
      </c>
      <c r="AP110" s="65">
        <f t="shared" si="40"/>
        <v>103.74948717948716</v>
      </c>
    </row>
    <row r="111" spans="1:43" s="57" customFormat="1">
      <c r="A111" s="86" t="s">
        <v>117</v>
      </c>
      <c r="B111" s="158" t="s">
        <v>209</v>
      </c>
      <c r="C111" s="161" t="s">
        <v>335</v>
      </c>
      <c r="D111" s="159"/>
      <c r="E111" s="65">
        <v>42</v>
      </c>
      <c r="F111" s="65">
        <f t="shared" si="28"/>
        <v>20139.91</v>
      </c>
      <c r="G111" s="65">
        <v>1380.76</v>
      </c>
      <c r="H111" s="65">
        <v>0</v>
      </c>
      <c r="I111" s="65">
        <v>230.94</v>
      </c>
      <c r="J111" s="65">
        <v>18009.82</v>
      </c>
      <c r="K111" s="65">
        <v>518.39</v>
      </c>
      <c r="L111" s="65">
        <v>0</v>
      </c>
      <c r="M111" s="65">
        <f t="shared" si="29"/>
        <v>0</v>
      </c>
      <c r="N111" s="65">
        <v>0</v>
      </c>
      <c r="O111" s="65">
        <v>0</v>
      </c>
      <c r="P111" s="65">
        <v>0</v>
      </c>
      <c r="Q111" s="65">
        <v>0</v>
      </c>
      <c r="R111" s="65">
        <v>0</v>
      </c>
      <c r="S111" s="65">
        <v>8</v>
      </c>
      <c r="T111" s="65">
        <f t="shared" si="30"/>
        <v>261.64999999999998</v>
      </c>
      <c r="U111" s="65">
        <v>101.22</v>
      </c>
      <c r="V111" s="65">
        <v>60.82</v>
      </c>
      <c r="W111" s="65">
        <v>4.9400000000000004</v>
      </c>
      <c r="X111" s="65">
        <v>0</v>
      </c>
      <c r="Y111" s="65">
        <v>94.67</v>
      </c>
      <c r="Z111" s="65">
        <f t="shared" si="31"/>
        <v>50</v>
      </c>
      <c r="AA111" s="65">
        <f t="shared" si="32"/>
        <v>20401.560000000001</v>
      </c>
      <c r="AB111" s="65">
        <f t="shared" si="33"/>
        <v>1481.98</v>
      </c>
      <c r="AC111" s="65">
        <f t="shared" si="34"/>
        <v>60.82</v>
      </c>
      <c r="AD111" s="65">
        <f t="shared" si="35"/>
        <v>235.88</v>
      </c>
      <c r="AE111" s="65">
        <f t="shared" si="36"/>
        <v>18009.82</v>
      </c>
      <c r="AF111" s="65">
        <f t="shared" si="37"/>
        <v>613.05999999999995</v>
      </c>
      <c r="AG111" s="65">
        <f t="shared" si="38"/>
        <v>50</v>
      </c>
      <c r="AH111" s="65">
        <f t="shared" si="39"/>
        <v>20401.560000000001</v>
      </c>
      <c r="AI111" s="65">
        <v>0</v>
      </c>
      <c r="AJ111" s="65">
        <v>0</v>
      </c>
      <c r="AK111" s="65">
        <v>0</v>
      </c>
      <c r="AL111" s="65">
        <v>0</v>
      </c>
      <c r="AM111" s="65"/>
      <c r="AN111" s="65">
        <f t="shared" si="26"/>
        <v>50</v>
      </c>
      <c r="AO111" s="65">
        <f t="shared" si="27"/>
        <v>20401.560000000001</v>
      </c>
      <c r="AP111" s="65">
        <f t="shared" si="40"/>
        <v>408.03120000000001</v>
      </c>
    </row>
    <row r="112" spans="1:43" s="57" customFormat="1">
      <c r="A112" s="132" t="s">
        <v>305</v>
      </c>
      <c r="B112" s="161" t="s">
        <v>213</v>
      </c>
      <c r="C112" s="161" t="s">
        <v>335</v>
      </c>
      <c r="D112" s="159"/>
      <c r="E112" s="65">
        <v>0</v>
      </c>
      <c r="F112" s="65">
        <f t="shared" si="28"/>
        <v>0</v>
      </c>
      <c r="G112" s="65">
        <v>0</v>
      </c>
      <c r="H112" s="65">
        <v>0</v>
      </c>
      <c r="I112" s="65">
        <v>0</v>
      </c>
      <c r="J112" s="65">
        <v>0</v>
      </c>
      <c r="K112" s="65">
        <v>0</v>
      </c>
      <c r="L112" s="65">
        <v>0</v>
      </c>
      <c r="M112" s="65">
        <f t="shared" si="29"/>
        <v>0</v>
      </c>
      <c r="N112" s="65">
        <v>0</v>
      </c>
      <c r="O112" s="65">
        <v>0</v>
      </c>
      <c r="P112" s="65">
        <v>0</v>
      </c>
      <c r="Q112" s="65">
        <v>0</v>
      </c>
      <c r="R112" s="65">
        <v>0</v>
      </c>
      <c r="S112" s="65">
        <v>0</v>
      </c>
      <c r="T112" s="65">
        <f t="shared" si="30"/>
        <v>0</v>
      </c>
      <c r="U112" s="65">
        <v>0</v>
      </c>
      <c r="V112" s="65">
        <v>0</v>
      </c>
      <c r="W112" s="65">
        <v>0</v>
      </c>
      <c r="X112" s="65">
        <v>0</v>
      </c>
      <c r="Y112" s="65">
        <v>0</v>
      </c>
      <c r="Z112" s="65">
        <f t="shared" si="31"/>
        <v>0</v>
      </c>
      <c r="AA112" s="65">
        <f t="shared" si="32"/>
        <v>0</v>
      </c>
      <c r="AB112" s="65">
        <f t="shared" si="33"/>
        <v>0</v>
      </c>
      <c r="AC112" s="65">
        <f t="shared" si="34"/>
        <v>0</v>
      </c>
      <c r="AD112" s="65">
        <f t="shared" si="35"/>
        <v>0</v>
      </c>
      <c r="AE112" s="65">
        <f t="shared" si="36"/>
        <v>0</v>
      </c>
      <c r="AF112" s="65">
        <f t="shared" si="37"/>
        <v>0</v>
      </c>
      <c r="AG112" s="65">
        <f t="shared" si="38"/>
        <v>0</v>
      </c>
      <c r="AH112" s="65">
        <f t="shared" si="39"/>
        <v>0</v>
      </c>
      <c r="AI112" s="65">
        <v>0</v>
      </c>
      <c r="AJ112" s="65">
        <v>0</v>
      </c>
      <c r="AK112" s="65">
        <v>0</v>
      </c>
      <c r="AL112" s="65">
        <v>0</v>
      </c>
      <c r="AM112" s="65"/>
      <c r="AN112" s="65">
        <f t="shared" si="26"/>
        <v>0</v>
      </c>
      <c r="AO112" s="65">
        <f t="shared" si="27"/>
        <v>0</v>
      </c>
      <c r="AP112" s="65" t="e">
        <f t="shared" si="40"/>
        <v>#DIV/0!</v>
      </c>
    </row>
    <row r="113" spans="1:43" s="57" customFormat="1">
      <c r="A113" s="86" t="s">
        <v>118</v>
      </c>
      <c r="B113" s="158" t="s">
        <v>212</v>
      </c>
      <c r="C113" s="161" t="s">
        <v>335</v>
      </c>
      <c r="D113" s="159"/>
      <c r="E113" s="65">
        <v>180</v>
      </c>
      <c r="F113" s="65">
        <f t="shared" si="28"/>
        <v>95881.440000000017</v>
      </c>
      <c r="G113" s="65">
        <v>6197.57</v>
      </c>
      <c r="H113" s="65">
        <v>0</v>
      </c>
      <c r="I113" s="65">
        <v>115.38</v>
      </c>
      <c r="J113" s="65">
        <v>86908.300000000017</v>
      </c>
      <c r="K113" s="65">
        <v>2660.19</v>
      </c>
      <c r="L113" s="65">
        <v>0</v>
      </c>
      <c r="M113" s="65">
        <f t="shared" si="29"/>
        <v>0</v>
      </c>
      <c r="N113" s="65">
        <v>0</v>
      </c>
      <c r="O113" s="65">
        <v>0</v>
      </c>
      <c r="P113" s="65">
        <v>0</v>
      </c>
      <c r="Q113" s="65">
        <v>0</v>
      </c>
      <c r="R113" s="65">
        <v>0</v>
      </c>
      <c r="S113" s="65">
        <v>10</v>
      </c>
      <c r="T113" s="65">
        <f t="shared" si="30"/>
        <v>11813.01</v>
      </c>
      <c r="U113" s="65">
        <v>323.35000000000002</v>
      </c>
      <c r="V113" s="65">
        <v>28.92</v>
      </c>
      <c r="W113" s="65">
        <v>94.8</v>
      </c>
      <c r="X113" s="65">
        <v>11285.6</v>
      </c>
      <c r="Y113" s="65">
        <v>80.34</v>
      </c>
      <c r="Z113" s="65">
        <f t="shared" si="31"/>
        <v>190</v>
      </c>
      <c r="AA113" s="65">
        <f t="shared" si="32"/>
        <v>107694.45000000001</v>
      </c>
      <c r="AB113" s="65">
        <f t="shared" si="33"/>
        <v>6520.92</v>
      </c>
      <c r="AC113" s="65">
        <f t="shared" si="34"/>
        <v>28.92</v>
      </c>
      <c r="AD113" s="65">
        <f t="shared" si="35"/>
        <v>210.18</v>
      </c>
      <c r="AE113" s="65">
        <f t="shared" si="36"/>
        <v>98193.900000000023</v>
      </c>
      <c r="AF113" s="65">
        <f t="shared" si="37"/>
        <v>2740.53</v>
      </c>
      <c r="AG113" s="65">
        <f t="shared" si="38"/>
        <v>190</v>
      </c>
      <c r="AH113" s="65">
        <f t="shared" si="39"/>
        <v>107694.45000000001</v>
      </c>
      <c r="AI113" s="65">
        <v>0</v>
      </c>
      <c r="AJ113" s="65">
        <v>0</v>
      </c>
      <c r="AK113" s="65">
        <v>0</v>
      </c>
      <c r="AL113" s="65">
        <v>0</v>
      </c>
      <c r="AM113" s="65"/>
      <c r="AN113" s="65">
        <f t="shared" si="26"/>
        <v>190</v>
      </c>
      <c r="AO113" s="65">
        <f t="shared" si="27"/>
        <v>107694.45000000001</v>
      </c>
      <c r="AP113" s="65">
        <f t="shared" si="40"/>
        <v>566.81289473684217</v>
      </c>
    </row>
    <row r="114" spans="1:43" s="57" customFormat="1">
      <c r="A114" s="86" t="s">
        <v>119</v>
      </c>
      <c r="B114" s="158" t="s">
        <v>211</v>
      </c>
      <c r="C114" s="161" t="s">
        <v>335</v>
      </c>
      <c r="D114" s="159"/>
      <c r="E114" s="65">
        <v>37</v>
      </c>
      <c r="F114" s="65">
        <f t="shared" si="28"/>
        <v>5261.65</v>
      </c>
      <c r="G114" s="65">
        <v>1398.45</v>
      </c>
      <c r="H114" s="65">
        <v>16.100000000000001</v>
      </c>
      <c r="I114" s="65">
        <v>565.31000000000006</v>
      </c>
      <c r="J114" s="65">
        <v>3235.39</v>
      </c>
      <c r="K114" s="65">
        <v>46.4</v>
      </c>
      <c r="L114" s="65">
        <v>0</v>
      </c>
      <c r="M114" s="65">
        <f t="shared" si="29"/>
        <v>0</v>
      </c>
      <c r="N114" s="65">
        <v>0</v>
      </c>
      <c r="O114" s="65">
        <v>0</v>
      </c>
      <c r="P114" s="65">
        <v>0</v>
      </c>
      <c r="Q114" s="65">
        <v>0</v>
      </c>
      <c r="R114" s="65">
        <v>0</v>
      </c>
      <c r="S114" s="65">
        <v>35</v>
      </c>
      <c r="T114" s="65">
        <f t="shared" si="30"/>
        <v>9366.43</v>
      </c>
      <c r="U114" s="65">
        <v>2114.96</v>
      </c>
      <c r="V114" s="65">
        <v>1271.82</v>
      </c>
      <c r="W114" s="65">
        <v>4093.58</v>
      </c>
      <c r="X114" s="65">
        <v>860.12</v>
      </c>
      <c r="Y114" s="65">
        <v>1025.95</v>
      </c>
      <c r="Z114" s="65">
        <f t="shared" si="31"/>
        <v>72</v>
      </c>
      <c r="AA114" s="65">
        <f t="shared" si="32"/>
        <v>14628.08</v>
      </c>
      <c r="AB114" s="65">
        <f t="shared" si="33"/>
        <v>3513.41</v>
      </c>
      <c r="AC114" s="65">
        <f t="shared" si="34"/>
        <v>1287.9199999999998</v>
      </c>
      <c r="AD114" s="65">
        <f t="shared" si="35"/>
        <v>4658.8900000000003</v>
      </c>
      <c r="AE114" s="65">
        <f t="shared" si="36"/>
        <v>4095.5099999999998</v>
      </c>
      <c r="AF114" s="65">
        <f t="shared" si="37"/>
        <v>1072.3500000000001</v>
      </c>
      <c r="AG114" s="65">
        <f t="shared" si="38"/>
        <v>72</v>
      </c>
      <c r="AH114" s="65">
        <f t="shared" si="39"/>
        <v>14628.08</v>
      </c>
      <c r="AI114" s="65">
        <v>0</v>
      </c>
      <c r="AJ114" s="65">
        <v>0</v>
      </c>
      <c r="AK114" s="65">
        <v>0</v>
      </c>
      <c r="AL114" s="65">
        <v>0</v>
      </c>
      <c r="AM114" s="65"/>
      <c r="AN114" s="65">
        <f t="shared" si="26"/>
        <v>72</v>
      </c>
      <c r="AO114" s="65">
        <f t="shared" si="27"/>
        <v>14628.08</v>
      </c>
      <c r="AP114" s="65">
        <f t="shared" si="40"/>
        <v>203.16777777777779</v>
      </c>
    </row>
    <row r="115" spans="1:43" s="57" customFormat="1">
      <c r="A115" s="86" t="s">
        <v>120</v>
      </c>
      <c r="B115" s="158" t="s">
        <v>209</v>
      </c>
      <c r="C115" s="161" t="s">
        <v>336</v>
      </c>
      <c r="D115" s="159" t="s">
        <v>174</v>
      </c>
      <c r="E115" s="65">
        <v>18</v>
      </c>
      <c r="F115" s="65">
        <f t="shared" si="28"/>
        <v>11182.869999999999</v>
      </c>
      <c r="G115" s="65">
        <v>343.75000000000006</v>
      </c>
      <c r="H115" s="65">
        <v>0</v>
      </c>
      <c r="I115" s="65">
        <v>16.48</v>
      </c>
      <c r="J115" s="65">
        <v>10822.64</v>
      </c>
      <c r="K115" s="65">
        <v>0</v>
      </c>
      <c r="L115" s="65">
        <v>0</v>
      </c>
      <c r="M115" s="65">
        <f t="shared" si="29"/>
        <v>0</v>
      </c>
      <c r="N115" s="65">
        <v>0</v>
      </c>
      <c r="O115" s="65">
        <v>0</v>
      </c>
      <c r="P115" s="65">
        <v>0</v>
      </c>
      <c r="Q115" s="65">
        <v>0</v>
      </c>
      <c r="R115" s="65">
        <v>0</v>
      </c>
      <c r="S115" s="65">
        <v>66</v>
      </c>
      <c r="T115" s="65">
        <f t="shared" si="30"/>
        <v>8655.7000000000007</v>
      </c>
      <c r="U115" s="65">
        <v>2023.02</v>
      </c>
      <c r="V115" s="65">
        <v>514.80000000000007</v>
      </c>
      <c r="W115" s="65">
        <v>1471.82</v>
      </c>
      <c r="X115" s="65">
        <v>2444.5700000000002</v>
      </c>
      <c r="Y115" s="65">
        <v>2201.4899999999998</v>
      </c>
      <c r="Z115" s="65">
        <f t="shared" si="31"/>
        <v>84</v>
      </c>
      <c r="AA115" s="65">
        <f t="shared" si="32"/>
        <v>19838.57</v>
      </c>
      <c r="AB115" s="65">
        <f t="shared" si="33"/>
        <v>2366.77</v>
      </c>
      <c r="AC115" s="65">
        <f t="shared" si="34"/>
        <v>514.80000000000007</v>
      </c>
      <c r="AD115" s="65">
        <f t="shared" si="35"/>
        <v>1488.3</v>
      </c>
      <c r="AE115" s="65">
        <f t="shared" si="36"/>
        <v>13267.21</v>
      </c>
      <c r="AF115" s="65">
        <f t="shared" si="37"/>
        <v>2201.4899999999998</v>
      </c>
      <c r="AG115" s="65">
        <f t="shared" si="38"/>
        <v>84</v>
      </c>
      <c r="AH115" s="65">
        <f t="shared" si="39"/>
        <v>19838.57</v>
      </c>
      <c r="AI115" s="65">
        <v>0</v>
      </c>
      <c r="AJ115" s="65">
        <v>0</v>
      </c>
      <c r="AK115" s="65">
        <v>0</v>
      </c>
      <c r="AL115" s="65">
        <v>0</v>
      </c>
      <c r="AM115" s="65"/>
      <c r="AN115" s="65">
        <f t="shared" si="26"/>
        <v>84</v>
      </c>
      <c r="AO115" s="65">
        <f t="shared" si="27"/>
        <v>19838.57</v>
      </c>
      <c r="AP115" s="65">
        <f t="shared" si="40"/>
        <v>236.17345238095237</v>
      </c>
    </row>
    <row r="116" spans="1:43" s="57" customFormat="1">
      <c r="A116" s="86" t="s">
        <v>166</v>
      </c>
      <c r="B116" s="158" t="s">
        <v>209</v>
      </c>
      <c r="C116" s="161" t="s">
        <v>335</v>
      </c>
      <c r="D116" s="159"/>
      <c r="E116" s="65">
        <v>4</v>
      </c>
      <c r="F116" s="65">
        <f t="shared" si="28"/>
        <v>1289.31</v>
      </c>
      <c r="G116" s="65">
        <v>133.03</v>
      </c>
      <c r="H116" s="65">
        <v>0</v>
      </c>
      <c r="I116" s="65">
        <v>17.98</v>
      </c>
      <c r="J116" s="65">
        <v>1086.8599999999999</v>
      </c>
      <c r="K116" s="65">
        <v>51.44</v>
      </c>
      <c r="L116" s="65">
        <v>2</v>
      </c>
      <c r="M116" s="65">
        <f t="shared" si="29"/>
        <v>1059.08</v>
      </c>
      <c r="N116" s="65">
        <v>0</v>
      </c>
      <c r="O116" s="65">
        <v>0</v>
      </c>
      <c r="P116" s="65">
        <v>0</v>
      </c>
      <c r="Q116" s="65">
        <v>1059.08</v>
      </c>
      <c r="R116" s="65">
        <v>0</v>
      </c>
      <c r="S116" s="65">
        <v>28</v>
      </c>
      <c r="T116" s="65">
        <f t="shared" si="30"/>
        <v>5121.8500000000004</v>
      </c>
      <c r="U116" s="65">
        <v>791.89</v>
      </c>
      <c r="V116" s="65">
        <v>287.61</v>
      </c>
      <c r="W116" s="65">
        <v>450.96</v>
      </c>
      <c r="X116" s="65">
        <v>2588.8000000000002</v>
      </c>
      <c r="Y116" s="65">
        <v>1002.59</v>
      </c>
      <c r="Z116" s="65">
        <f t="shared" si="31"/>
        <v>34</v>
      </c>
      <c r="AA116" s="65">
        <f t="shared" si="32"/>
        <v>7470.24</v>
      </c>
      <c r="AB116" s="65">
        <f t="shared" si="33"/>
        <v>924.92</v>
      </c>
      <c r="AC116" s="65">
        <f t="shared" si="34"/>
        <v>287.61</v>
      </c>
      <c r="AD116" s="65">
        <f t="shared" si="35"/>
        <v>468.94</v>
      </c>
      <c r="AE116" s="65">
        <f t="shared" si="36"/>
        <v>4734.74</v>
      </c>
      <c r="AF116" s="65">
        <f t="shared" si="37"/>
        <v>1054.03</v>
      </c>
      <c r="AG116" s="65">
        <f t="shared" si="38"/>
        <v>34</v>
      </c>
      <c r="AH116" s="65">
        <f t="shared" si="39"/>
        <v>7470.24</v>
      </c>
      <c r="AI116" s="65">
        <v>0</v>
      </c>
      <c r="AJ116" s="65">
        <v>0</v>
      </c>
      <c r="AK116" s="65">
        <v>0</v>
      </c>
      <c r="AL116" s="65">
        <v>0</v>
      </c>
      <c r="AM116" s="65"/>
      <c r="AN116" s="65">
        <f t="shared" si="26"/>
        <v>34</v>
      </c>
      <c r="AO116" s="65">
        <f t="shared" si="27"/>
        <v>7470.24</v>
      </c>
      <c r="AP116" s="65">
        <f t="shared" si="40"/>
        <v>219.71294117647059</v>
      </c>
    </row>
    <row r="117" spans="1:43" s="57" customFormat="1">
      <c r="A117" s="86" t="s">
        <v>220</v>
      </c>
      <c r="B117" s="158" t="s">
        <v>213</v>
      </c>
      <c r="C117" s="161" t="s">
        <v>337</v>
      </c>
      <c r="D117" s="159" t="s">
        <v>174</v>
      </c>
      <c r="E117" s="65">
        <v>1874</v>
      </c>
      <c r="F117" s="65">
        <f t="shared" si="28"/>
        <v>689071.4</v>
      </c>
      <c r="G117" s="65">
        <v>113108.84999999999</v>
      </c>
      <c r="H117" s="65">
        <v>9904.9599999999991</v>
      </c>
      <c r="I117" s="65">
        <v>85790.57</v>
      </c>
      <c r="J117" s="65">
        <v>398242</v>
      </c>
      <c r="K117" s="65">
        <v>82025.01999999999</v>
      </c>
      <c r="L117" s="65">
        <v>49</v>
      </c>
      <c r="M117" s="65">
        <f t="shared" si="29"/>
        <v>80059.260000000009</v>
      </c>
      <c r="N117" s="65">
        <v>18994.849999999999</v>
      </c>
      <c r="O117" s="65">
        <v>452.68</v>
      </c>
      <c r="P117" s="65">
        <v>12828.02</v>
      </c>
      <c r="Q117" s="65">
        <v>40920.020000000004</v>
      </c>
      <c r="R117" s="65">
        <v>6863.69</v>
      </c>
      <c r="S117" s="65">
        <v>5418</v>
      </c>
      <c r="T117" s="65">
        <f t="shared" si="30"/>
        <v>14575208.23</v>
      </c>
      <c r="U117" s="65">
        <v>5557660.6600000001</v>
      </c>
      <c r="V117" s="65">
        <v>154371.20000000001</v>
      </c>
      <c r="W117" s="65">
        <v>2600044.4500000002</v>
      </c>
      <c r="X117" s="65">
        <v>3349242.43</v>
      </c>
      <c r="Y117" s="65">
        <v>2913889.4899999998</v>
      </c>
      <c r="Z117" s="65">
        <f t="shared" si="31"/>
        <v>7341</v>
      </c>
      <c r="AA117" s="65">
        <f t="shared" si="32"/>
        <v>15344338.890000001</v>
      </c>
      <c r="AB117" s="65">
        <f t="shared" si="33"/>
        <v>5689764.3600000003</v>
      </c>
      <c r="AC117" s="65">
        <f t="shared" si="34"/>
        <v>164728.84000000003</v>
      </c>
      <c r="AD117" s="65">
        <f t="shared" si="35"/>
        <v>2698663.04</v>
      </c>
      <c r="AE117" s="65">
        <f t="shared" si="36"/>
        <v>3788404.45</v>
      </c>
      <c r="AF117" s="65">
        <f t="shared" si="37"/>
        <v>3002778.1999999997</v>
      </c>
      <c r="AG117" s="65">
        <f t="shared" si="38"/>
        <v>7341</v>
      </c>
      <c r="AH117" s="65">
        <f t="shared" si="39"/>
        <v>15344338.890000001</v>
      </c>
      <c r="AI117" s="65">
        <v>0</v>
      </c>
      <c r="AJ117" s="65">
        <v>0</v>
      </c>
      <c r="AK117" s="65">
        <v>0</v>
      </c>
      <c r="AL117" s="65">
        <v>0</v>
      </c>
      <c r="AM117" s="65"/>
      <c r="AN117" s="65">
        <f t="shared" si="26"/>
        <v>7341</v>
      </c>
      <c r="AO117" s="65">
        <f t="shared" si="27"/>
        <v>15344338.890000001</v>
      </c>
      <c r="AP117" s="65">
        <f t="shared" si="40"/>
        <v>2090.2246138128321</v>
      </c>
      <c r="AQ117" s="85"/>
    </row>
    <row r="118" spans="1:43" s="57" customFormat="1">
      <c r="A118" s="86" t="s">
        <v>121</v>
      </c>
      <c r="B118" s="158" t="s">
        <v>213</v>
      </c>
      <c r="C118" s="161" t="s">
        <v>335</v>
      </c>
      <c r="D118" s="159"/>
      <c r="E118" s="65">
        <v>337</v>
      </c>
      <c r="F118" s="65">
        <f t="shared" si="28"/>
        <v>44778.459999999992</v>
      </c>
      <c r="G118" s="65">
        <v>16183.56</v>
      </c>
      <c r="H118" s="65">
        <v>603.65</v>
      </c>
      <c r="I118" s="65">
        <v>1538.62</v>
      </c>
      <c r="J118" s="65">
        <v>26400.93</v>
      </c>
      <c r="K118" s="65">
        <v>51.7</v>
      </c>
      <c r="L118" s="65">
        <v>1</v>
      </c>
      <c r="M118" s="65">
        <f t="shared" si="29"/>
        <v>1155.8699999999999</v>
      </c>
      <c r="N118" s="65">
        <v>0</v>
      </c>
      <c r="O118" s="65">
        <v>0</v>
      </c>
      <c r="P118" s="65">
        <v>0</v>
      </c>
      <c r="Q118" s="65">
        <v>0</v>
      </c>
      <c r="R118" s="65">
        <v>1155.8699999999999</v>
      </c>
      <c r="S118" s="65">
        <v>53</v>
      </c>
      <c r="T118" s="65">
        <f t="shared" si="30"/>
        <v>7595.63</v>
      </c>
      <c r="U118" s="65">
        <v>1926.42</v>
      </c>
      <c r="V118" s="65">
        <v>521.35</v>
      </c>
      <c r="W118" s="65">
        <v>558.51</v>
      </c>
      <c r="X118" s="65">
        <v>2319.0100000000002</v>
      </c>
      <c r="Y118" s="65">
        <v>2270.34</v>
      </c>
      <c r="Z118" s="65">
        <f t="shared" si="31"/>
        <v>391</v>
      </c>
      <c r="AA118" s="65">
        <f t="shared" si="32"/>
        <v>53529.959999999992</v>
      </c>
      <c r="AB118" s="65">
        <f t="shared" si="33"/>
        <v>18109.98</v>
      </c>
      <c r="AC118" s="65">
        <f t="shared" si="34"/>
        <v>1125</v>
      </c>
      <c r="AD118" s="65">
        <f t="shared" si="35"/>
        <v>2097.13</v>
      </c>
      <c r="AE118" s="65">
        <f t="shared" si="36"/>
        <v>28719.940000000002</v>
      </c>
      <c r="AF118" s="65">
        <f t="shared" si="37"/>
        <v>3477.91</v>
      </c>
      <c r="AG118" s="65">
        <f t="shared" si="38"/>
        <v>391</v>
      </c>
      <c r="AH118" s="65">
        <f t="shared" si="39"/>
        <v>53529.959999999992</v>
      </c>
      <c r="AI118" s="65">
        <v>0</v>
      </c>
      <c r="AJ118" s="65">
        <v>0</v>
      </c>
      <c r="AK118" s="65">
        <v>0</v>
      </c>
      <c r="AL118" s="65">
        <v>0</v>
      </c>
      <c r="AM118" s="65"/>
      <c r="AN118" s="65">
        <f t="shared" ref="AN118:AN182" si="41">AG118+AI118+AK118</f>
        <v>391</v>
      </c>
      <c r="AO118" s="65">
        <f t="shared" si="27"/>
        <v>53529.959999999992</v>
      </c>
      <c r="AP118" s="65">
        <f t="shared" si="40"/>
        <v>136.90526854219948</v>
      </c>
    </row>
    <row r="119" spans="1:43" s="57" customFormat="1">
      <c r="A119" s="86" t="s">
        <v>122</v>
      </c>
      <c r="B119" s="158" t="s">
        <v>212</v>
      </c>
      <c r="C119" s="161" t="s">
        <v>335</v>
      </c>
      <c r="D119" s="159"/>
      <c r="E119" s="65">
        <v>51</v>
      </c>
      <c r="F119" s="65">
        <f t="shared" si="28"/>
        <v>10632.85</v>
      </c>
      <c r="G119" s="65">
        <v>2977.64</v>
      </c>
      <c r="H119" s="65">
        <v>61.82</v>
      </c>
      <c r="I119" s="65">
        <v>55.680000000000007</v>
      </c>
      <c r="J119" s="65">
        <v>7524.13</v>
      </c>
      <c r="K119" s="65">
        <v>13.579999999999998</v>
      </c>
      <c r="L119" s="65">
        <v>0</v>
      </c>
      <c r="M119" s="65">
        <f t="shared" si="29"/>
        <v>0</v>
      </c>
      <c r="N119" s="65">
        <v>0</v>
      </c>
      <c r="O119" s="65">
        <v>0</v>
      </c>
      <c r="P119" s="65">
        <v>0</v>
      </c>
      <c r="Q119" s="65">
        <v>0</v>
      </c>
      <c r="R119" s="65">
        <v>0</v>
      </c>
      <c r="S119" s="65">
        <v>17</v>
      </c>
      <c r="T119" s="65">
        <f t="shared" si="30"/>
        <v>1240.52</v>
      </c>
      <c r="U119" s="65">
        <v>649.70999999999992</v>
      </c>
      <c r="V119" s="65">
        <v>23.39</v>
      </c>
      <c r="W119" s="65">
        <v>334.06</v>
      </c>
      <c r="X119" s="65">
        <v>0</v>
      </c>
      <c r="Y119" s="65">
        <v>233.36</v>
      </c>
      <c r="Z119" s="65">
        <f t="shared" si="31"/>
        <v>68</v>
      </c>
      <c r="AA119" s="65">
        <f t="shared" si="32"/>
        <v>11873.37</v>
      </c>
      <c r="AB119" s="65">
        <f t="shared" si="33"/>
        <v>3627.35</v>
      </c>
      <c r="AC119" s="65">
        <f t="shared" si="34"/>
        <v>85.210000000000008</v>
      </c>
      <c r="AD119" s="65">
        <f t="shared" si="35"/>
        <v>389.74</v>
      </c>
      <c r="AE119" s="65">
        <f t="shared" si="36"/>
        <v>7524.13</v>
      </c>
      <c r="AF119" s="65">
        <f t="shared" si="37"/>
        <v>246.94</v>
      </c>
      <c r="AG119" s="65">
        <f t="shared" si="38"/>
        <v>68</v>
      </c>
      <c r="AH119" s="65">
        <f t="shared" si="39"/>
        <v>11873.37</v>
      </c>
      <c r="AI119" s="65">
        <v>0</v>
      </c>
      <c r="AJ119" s="65">
        <v>0</v>
      </c>
      <c r="AK119" s="65">
        <v>0</v>
      </c>
      <c r="AL119" s="65">
        <v>0</v>
      </c>
      <c r="AM119" s="65"/>
      <c r="AN119" s="65">
        <f t="shared" si="41"/>
        <v>68</v>
      </c>
      <c r="AO119" s="65">
        <f t="shared" si="27"/>
        <v>11873.37</v>
      </c>
      <c r="AP119" s="65">
        <f t="shared" si="40"/>
        <v>174.60838235294119</v>
      </c>
    </row>
    <row r="120" spans="1:43" s="57" customFormat="1">
      <c r="A120" s="86" t="s">
        <v>123</v>
      </c>
      <c r="B120" s="158" t="s">
        <v>209</v>
      </c>
      <c r="C120" s="161" t="s">
        <v>335</v>
      </c>
      <c r="D120" s="159"/>
      <c r="E120" s="65">
        <v>9</v>
      </c>
      <c r="F120" s="65">
        <f t="shared" si="28"/>
        <v>420.79</v>
      </c>
      <c r="G120" s="65">
        <v>178.19</v>
      </c>
      <c r="H120" s="65">
        <v>30.05</v>
      </c>
      <c r="I120" s="65">
        <v>13.42</v>
      </c>
      <c r="J120" s="65">
        <v>178.45</v>
      </c>
      <c r="K120" s="65">
        <v>20.68</v>
      </c>
      <c r="L120" s="65">
        <v>0</v>
      </c>
      <c r="M120" s="65">
        <f t="shared" si="29"/>
        <v>0</v>
      </c>
      <c r="N120" s="65">
        <v>0</v>
      </c>
      <c r="O120" s="65">
        <v>0</v>
      </c>
      <c r="P120" s="65">
        <v>0</v>
      </c>
      <c r="Q120" s="65">
        <v>0</v>
      </c>
      <c r="R120" s="65">
        <v>0</v>
      </c>
      <c r="S120" s="65">
        <v>16</v>
      </c>
      <c r="T120" s="65">
        <f t="shared" si="30"/>
        <v>1413.58</v>
      </c>
      <c r="U120" s="65">
        <v>509.22</v>
      </c>
      <c r="V120" s="65">
        <v>13.09</v>
      </c>
      <c r="W120" s="65">
        <v>130.62</v>
      </c>
      <c r="X120" s="65">
        <v>622.88</v>
      </c>
      <c r="Y120" s="65">
        <v>137.77000000000001</v>
      </c>
      <c r="Z120" s="65">
        <f t="shared" si="31"/>
        <v>25</v>
      </c>
      <c r="AA120" s="65">
        <f t="shared" si="32"/>
        <v>1834.37</v>
      </c>
      <c r="AB120" s="65">
        <f t="shared" si="33"/>
        <v>687.41000000000008</v>
      </c>
      <c r="AC120" s="65">
        <f t="shared" si="34"/>
        <v>43.14</v>
      </c>
      <c r="AD120" s="65">
        <f t="shared" si="35"/>
        <v>144.04</v>
      </c>
      <c r="AE120" s="65">
        <f t="shared" si="36"/>
        <v>801.32999999999993</v>
      </c>
      <c r="AF120" s="65">
        <f t="shared" si="37"/>
        <v>158.45000000000002</v>
      </c>
      <c r="AG120" s="65">
        <f t="shared" si="38"/>
        <v>25</v>
      </c>
      <c r="AH120" s="65">
        <f t="shared" si="39"/>
        <v>1834.37</v>
      </c>
      <c r="AI120" s="65">
        <v>0</v>
      </c>
      <c r="AJ120" s="65">
        <v>0</v>
      </c>
      <c r="AK120" s="65">
        <v>0</v>
      </c>
      <c r="AL120" s="65">
        <v>0</v>
      </c>
      <c r="AM120" s="65"/>
      <c r="AN120" s="65">
        <f t="shared" si="41"/>
        <v>25</v>
      </c>
      <c r="AO120" s="65">
        <f t="shared" si="27"/>
        <v>1834.37</v>
      </c>
      <c r="AP120" s="65">
        <f t="shared" si="40"/>
        <v>73.374799999999993</v>
      </c>
    </row>
    <row r="121" spans="1:43" s="57" customFormat="1">
      <c r="A121" s="86" t="s">
        <v>167</v>
      </c>
      <c r="B121" s="158" t="s">
        <v>212</v>
      </c>
      <c r="C121" s="161" t="s">
        <v>335</v>
      </c>
      <c r="D121" s="159"/>
      <c r="E121" s="65">
        <v>11</v>
      </c>
      <c r="F121" s="65">
        <f t="shared" si="28"/>
        <v>1148.31</v>
      </c>
      <c r="G121" s="65">
        <v>548.32000000000005</v>
      </c>
      <c r="H121" s="65">
        <v>0</v>
      </c>
      <c r="I121" s="65">
        <v>4.51</v>
      </c>
      <c r="J121" s="65">
        <v>21.64</v>
      </c>
      <c r="K121" s="65">
        <v>573.84</v>
      </c>
      <c r="L121" s="65">
        <v>0</v>
      </c>
      <c r="M121" s="65">
        <f t="shared" si="29"/>
        <v>0</v>
      </c>
      <c r="N121" s="65">
        <v>0</v>
      </c>
      <c r="O121" s="65">
        <v>0</v>
      </c>
      <c r="P121" s="65">
        <v>0</v>
      </c>
      <c r="Q121" s="65">
        <v>0</v>
      </c>
      <c r="R121" s="65">
        <v>0</v>
      </c>
      <c r="S121" s="65">
        <v>2</v>
      </c>
      <c r="T121" s="65">
        <f t="shared" si="30"/>
        <v>43.790000000000006</v>
      </c>
      <c r="U121" s="65">
        <v>32.200000000000003</v>
      </c>
      <c r="V121" s="65">
        <v>0</v>
      </c>
      <c r="W121" s="65">
        <v>0</v>
      </c>
      <c r="X121" s="65">
        <v>0</v>
      </c>
      <c r="Y121" s="65">
        <v>11.59</v>
      </c>
      <c r="Z121" s="65">
        <f t="shared" si="31"/>
        <v>13</v>
      </c>
      <c r="AA121" s="65">
        <f t="shared" si="32"/>
        <v>1192.0999999999999</v>
      </c>
      <c r="AB121" s="65">
        <f t="shared" si="33"/>
        <v>580.5200000000001</v>
      </c>
      <c r="AC121" s="65">
        <f t="shared" si="34"/>
        <v>0</v>
      </c>
      <c r="AD121" s="65">
        <f t="shared" si="35"/>
        <v>4.51</v>
      </c>
      <c r="AE121" s="65">
        <f t="shared" si="36"/>
        <v>21.64</v>
      </c>
      <c r="AF121" s="65">
        <f t="shared" si="37"/>
        <v>585.43000000000006</v>
      </c>
      <c r="AG121" s="65">
        <f t="shared" si="38"/>
        <v>13</v>
      </c>
      <c r="AH121" s="65">
        <f t="shared" si="39"/>
        <v>1192.0999999999999</v>
      </c>
      <c r="AI121" s="65">
        <v>0</v>
      </c>
      <c r="AJ121" s="65">
        <v>0</v>
      </c>
      <c r="AK121" s="65">
        <v>0</v>
      </c>
      <c r="AL121" s="65">
        <v>0</v>
      </c>
      <c r="AM121" s="65"/>
      <c r="AN121" s="65">
        <f t="shared" si="41"/>
        <v>13</v>
      </c>
      <c r="AO121" s="65">
        <f t="shared" si="27"/>
        <v>1192.0999999999999</v>
      </c>
      <c r="AP121" s="65">
        <f t="shared" si="40"/>
        <v>91.699999999999989</v>
      </c>
    </row>
    <row r="122" spans="1:43" s="57" customFormat="1">
      <c r="A122" s="86" t="s">
        <v>124</v>
      </c>
      <c r="B122" s="158" t="s">
        <v>212</v>
      </c>
      <c r="C122" s="161" t="s">
        <v>335</v>
      </c>
      <c r="D122" s="159"/>
      <c r="E122" s="65">
        <v>17</v>
      </c>
      <c r="F122" s="65">
        <f t="shared" si="28"/>
        <v>4274.0499999999993</v>
      </c>
      <c r="G122" s="65">
        <v>709.41000000000008</v>
      </c>
      <c r="H122" s="65">
        <v>0</v>
      </c>
      <c r="I122" s="65">
        <v>29.71</v>
      </c>
      <c r="J122" s="65">
        <v>3154.0699999999997</v>
      </c>
      <c r="K122" s="65">
        <v>380.86</v>
      </c>
      <c r="L122" s="65">
        <v>2</v>
      </c>
      <c r="M122" s="65">
        <f t="shared" si="29"/>
        <v>2454.04</v>
      </c>
      <c r="N122" s="65">
        <v>0</v>
      </c>
      <c r="O122" s="65">
        <v>0</v>
      </c>
      <c r="P122" s="65">
        <v>0</v>
      </c>
      <c r="Q122" s="65">
        <v>2454.04</v>
      </c>
      <c r="R122" s="65">
        <v>0</v>
      </c>
      <c r="S122" s="65">
        <v>7</v>
      </c>
      <c r="T122" s="65">
        <f t="shared" si="30"/>
        <v>2559.7800000000002</v>
      </c>
      <c r="U122" s="65">
        <v>238.86</v>
      </c>
      <c r="V122" s="65">
        <v>0</v>
      </c>
      <c r="W122" s="65">
        <v>111.78999999999999</v>
      </c>
      <c r="X122" s="65">
        <v>2112.62</v>
      </c>
      <c r="Y122" s="65">
        <v>96.51</v>
      </c>
      <c r="Z122" s="65">
        <f t="shared" si="31"/>
        <v>26</v>
      </c>
      <c r="AA122" s="65">
        <f t="shared" si="32"/>
        <v>9287.869999999999</v>
      </c>
      <c r="AB122" s="65">
        <f t="shared" si="33"/>
        <v>948.2700000000001</v>
      </c>
      <c r="AC122" s="65">
        <f t="shared" si="34"/>
        <v>0</v>
      </c>
      <c r="AD122" s="65">
        <f t="shared" si="35"/>
        <v>141.5</v>
      </c>
      <c r="AE122" s="65">
        <f t="shared" si="36"/>
        <v>7720.73</v>
      </c>
      <c r="AF122" s="65">
        <f t="shared" si="37"/>
        <v>477.37</v>
      </c>
      <c r="AG122" s="65">
        <f t="shared" si="38"/>
        <v>26</v>
      </c>
      <c r="AH122" s="65">
        <f t="shared" si="39"/>
        <v>9287.869999999999</v>
      </c>
      <c r="AI122" s="65">
        <v>0</v>
      </c>
      <c r="AJ122" s="65">
        <v>0</v>
      </c>
      <c r="AK122" s="65">
        <v>0</v>
      </c>
      <c r="AL122" s="65">
        <v>0</v>
      </c>
      <c r="AM122" s="65"/>
      <c r="AN122" s="65">
        <f t="shared" si="41"/>
        <v>26</v>
      </c>
      <c r="AO122" s="65">
        <f t="shared" si="27"/>
        <v>9287.869999999999</v>
      </c>
      <c r="AP122" s="65">
        <f t="shared" si="40"/>
        <v>357.22576923076917</v>
      </c>
    </row>
    <row r="123" spans="1:43" s="57" customFormat="1">
      <c r="A123" s="132" t="s">
        <v>306</v>
      </c>
      <c r="B123" s="161" t="s">
        <v>213</v>
      </c>
      <c r="C123" s="161" t="s">
        <v>335</v>
      </c>
      <c r="D123" s="159"/>
      <c r="E123" s="65">
        <v>1</v>
      </c>
      <c r="F123" s="65">
        <f t="shared" si="28"/>
        <v>41.3</v>
      </c>
      <c r="G123" s="65">
        <v>0</v>
      </c>
      <c r="H123" s="65">
        <v>0</v>
      </c>
      <c r="I123" s="65">
        <v>0</v>
      </c>
      <c r="J123" s="65">
        <v>41.3</v>
      </c>
      <c r="K123" s="65">
        <v>0</v>
      </c>
      <c r="L123" s="65">
        <v>0</v>
      </c>
      <c r="M123" s="65">
        <f t="shared" si="29"/>
        <v>0</v>
      </c>
      <c r="N123" s="65">
        <v>0</v>
      </c>
      <c r="O123" s="65">
        <v>0</v>
      </c>
      <c r="P123" s="65">
        <v>0</v>
      </c>
      <c r="Q123" s="65">
        <v>0</v>
      </c>
      <c r="R123" s="65">
        <v>0</v>
      </c>
      <c r="S123" s="65">
        <v>0</v>
      </c>
      <c r="T123" s="65">
        <f t="shared" si="30"/>
        <v>0</v>
      </c>
      <c r="U123" s="65">
        <v>0</v>
      </c>
      <c r="V123" s="65">
        <v>0</v>
      </c>
      <c r="W123" s="65">
        <v>0</v>
      </c>
      <c r="X123" s="65">
        <v>0</v>
      </c>
      <c r="Y123" s="65">
        <v>0</v>
      </c>
      <c r="Z123" s="65">
        <f t="shared" si="31"/>
        <v>1</v>
      </c>
      <c r="AA123" s="65">
        <f t="shared" si="32"/>
        <v>41.3</v>
      </c>
      <c r="AB123" s="65">
        <f t="shared" si="33"/>
        <v>0</v>
      </c>
      <c r="AC123" s="65">
        <f t="shared" si="34"/>
        <v>0</v>
      </c>
      <c r="AD123" s="65">
        <f t="shared" si="35"/>
        <v>0</v>
      </c>
      <c r="AE123" s="65">
        <f t="shared" si="36"/>
        <v>41.3</v>
      </c>
      <c r="AF123" s="65">
        <f t="shared" si="37"/>
        <v>0</v>
      </c>
      <c r="AG123" s="65">
        <f t="shared" si="38"/>
        <v>1</v>
      </c>
      <c r="AH123" s="65">
        <f t="shared" si="39"/>
        <v>41.3</v>
      </c>
      <c r="AI123" s="65">
        <v>0</v>
      </c>
      <c r="AJ123" s="65">
        <v>0</v>
      </c>
      <c r="AK123" s="65">
        <v>0</v>
      </c>
      <c r="AL123" s="65">
        <v>0</v>
      </c>
      <c r="AM123" s="65"/>
      <c r="AN123" s="65">
        <f t="shared" si="41"/>
        <v>1</v>
      </c>
      <c r="AO123" s="65">
        <f t="shared" si="27"/>
        <v>41.3</v>
      </c>
      <c r="AP123" s="65">
        <f t="shared" si="40"/>
        <v>41.3</v>
      </c>
    </row>
    <row r="124" spans="1:43" s="57" customFormat="1">
      <c r="A124" s="86" t="s">
        <v>168</v>
      </c>
      <c r="B124" s="158" t="s">
        <v>212</v>
      </c>
      <c r="C124" s="161" t="s">
        <v>335</v>
      </c>
      <c r="D124" s="159"/>
      <c r="E124" s="65">
        <v>8</v>
      </c>
      <c r="F124" s="65">
        <f t="shared" si="28"/>
        <v>9662.739999999998</v>
      </c>
      <c r="G124" s="65">
        <v>208.52</v>
      </c>
      <c r="H124" s="65">
        <v>0</v>
      </c>
      <c r="I124" s="65">
        <v>18.61</v>
      </c>
      <c r="J124" s="65">
        <v>9435.6099999999988</v>
      </c>
      <c r="K124" s="65">
        <v>0</v>
      </c>
      <c r="L124" s="65">
        <v>0</v>
      </c>
      <c r="M124" s="65">
        <f t="shared" si="29"/>
        <v>0</v>
      </c>
      <c r="N124" s="65">
        <v>0</v>
      </c>
      <c r="O124" s="65">
        <v>0</v>
      </c>
      <c r="P124" s="65">
        <v>0</v>
      </c>
      <c r="Q124" s="65">
        <v>0</v>
      </c>
      <c r="R124" s="65">
        <v>0</v>
      </c>
      <c r="S124" s="65">
        <v>1</v>
      </c>
      <c r="T124" s="65">
        <f t="shared" si="30"/>
        <v>10.39</v>
      </c>
      <c r="U124" s="65">
        <v>0</v>
      </c>
      <c r="V124" s="65">
        <v>0</v>
      </c>
      <c r="W124" s="65">
        <v>6.61</v>
      </c>
      <c r="X124" s="65">
        <v>0</v>
      </c>
      <c r="Y124" s="65">
        <v>3.78</v>
      </c>
      <c r="Z124" s="65">
        <f t="shared" si="31"/>
        <v>9</v>
      </c>
      <c r="AA124" s="65">
        <f t="shared" si="32"/>
        <v>9673.1299999999974</v>
      </c>
      <c r="AB124" s="65">
        <f t="shared" si="33"/>
        <v>208.52</v>
      </c>
      <c r="AC124" s="65">
        <f t="shared" si="34"/>
        <v>0</v>
      </c>
      <c r="AD124" s="65">
        <f t="shared" si="35"/>
        <v>25.22</v>
      </c>
      <c r="AE124" s="65">
        <f t="shared" si="36"/>
        <v>9435.6099999999988</v>
      </c>
      <c r="AF124" s="65">
        <f t="shared" si="37"/>
        <v>3.78</v>
      </c>
      <c r="AG124" s="65">
        <f t="shared" si="38"/>
        <v>9</v>
      </c>
      <c r="AH124" s="65">
        <f t="shared" si="39"/>
        <v>9673.1299999999974</v>
      </c>
      <c r="AI124" s="65">
        <v>0</v>
      </c>
      <c r="AJ124" s="65">
        <v>0</v>
      </c>
      <c r="AK124" s="65">
        <v>0</v>
      </c>
      <c r="AL124" s="65">
        <v>0</v>
      </c>
      <c r="AM124" s="65"/>
      <c r="AN124" s="65">
        <f t="shared" si="41"/>
        <v>9</v>
      </c>
      <c r="AO124" s="65">
        <f t="shared" si="27"/>
        <v>9673.1299999999974</v>
      </c>
      <c r="AP124" s="65">
        <f t="shared" si="40"/>
        <v>1074.7922222222219</v>
      </c>
    </row>
    <row r="125" spans="1:43" s="57" customFormat="1">
      <c r="A125" s="86" t="s">
        <v>125</v>
      </c>
      <c r="B125" s="158" t="s">
        <v>211</v>
      </c>
      <c r="C125" s="161" t="s">
        <v>335</v>
      </c>
      <c r="D125" s="159"/>
      <c r="E125" s="65">
        <v>109</v>
      </c>
      <c r="F125" s="65">
        <f t="shared" si="28"/>
        <v>15565.42</v>
      </c>
      <c r="G125" s="65">
        <v>6319.91</v>
      </c>
      <c r="H125" s="65">
        <v>13.5</v>
      </c>
      <c r="I125" s="65">
        <v>403.07</v>
      </c>
      <c r="J125" s="65">
        <v>8745.77</v>
      </c>
      <c r="K125" s="65">
        <v>83.17</v>
      </c>
      <c r="L125" s="65">
        <v>0</v>
      </c>
      <c r="M125" s="65">
        <f t="shared" si="29"/>
        <v>0</v>
      </c>
      <c r="N125" s="65">
        <v>0</v>
      </c>
      <c r="O125" s="65">
        <v>0</v>
      </c>
      <c r="P125" s="65">
        <v>0</v>
      </c>
      <c r="Q125" s="65">
        <v>0</v>
      </c>
      <c r="R125" s="65">
        <v>0</v>
      </c>
      <c r="S125" s="65">
        <v>100</v>
      </c>
      <c r="T125" s="65">
        <f t="shared" si="30"/>
        <v>18869.439999999999</v>
      </c>
      <c r="U125" s="65">
        <v>3488.77</v>
      </c>
      <c r="V125" s="65">
        <v>1176.94</v>
      </c>
      <c r="W125" s="65">
        <v>5071.28</v>
      </c>
      <c r="X125" s="65">
        <v>6366.41</v>
      </c>
      <c r="Y125" s="65">
        <v>2766.04</v>
      </c>
      <c r="Z125" s="65">
        <f t="shared" si="31"/>
        <v>209</v>
      </c>
      <c r="AA125" s="65">
        <f t="shared" si="32"/>
        <v>34434.86</v>
      </c>
      <c r="AB125" s="65">
        <f t="shared" si="33"/>
        <v>9808.68</v>
      </c>
      <c r="AC125" s="65">
        <f t="shared" si="34"/>
        <v>1190.44</v>
      </c>
      <c r="AD125" s="65">
        <f t="shared" si="35"/>
        <v>5474.3499999999995</v>
      </c>
      <c r="AE125" s="65">
        <f t="shared" si="36"/>
        <v>15112.18</v>
      </c>
      <c r="AF125" s="65">
        <f t="shared" si="37"/>
        <v>2849.21</v>
      </c>
      <c r="AG125" s="65">
        <f t="shared" si="38"/>
        <v>209</v>
      </c>
      <c r="AH125" s="65">
        <f t="shared" si="39"/>
        <v>34434.86</v>
      </c>
      <c r="AI125" s="65">
        <v>0</v>
      </c>
      <c r="AJ125" s="65">
        <v>0</v>
      </c>
      <c r="AK125" s="65">
        <v>0</v>
      </c>
      <c r="AL125" s="65">
        <v>0</v>
      </c>
      <c r="AM125" s="65"/>
      <c r="AN125" s="65">
        <f t="shared" si="41"/>
        <v>209</v>
      </c>
      <c r="AO125" s="65">
        <f t="shared" si="27"/>
        <v>34434.86</v>
      </c>
      <c r="AP125" s="65">
        <f t="shared" si="40"/>
        <v>164.7600956937799</v>
      </c>
    </row>
    <row r="126" spans="1:43" s="57" customFormat="1">
      <c r="A126" s="132" t="s">
        <v>307</v>
      </c>
      <c r="B126" s="161" t="s">
        <v>213</v>
      </c>
      <c r="C126" s="161" t="s">
        <v>335</v>
      </c>
      <c r="D126" s="159"/>
      <c r="E126" s="65">
        <v>1</v>
      </c>
      <c r="F126" s="65">
        <f t="shared" si="28"/>
        <v>29.240000000000002</v>
      </c>
      <c r="G126" s="65">
        <v>21.35</v>
      </c>
      <c r="H126" s="65">
        <v>0</v>
      </c>
      <c r="I126" s="65">
        <v>7.89</v>
      </c>
      <c r="J126" s="65">
        <v>0</v>
      </c>
      <c r="K126" s="65">
        <v>0</v>
      </c>
      <c r="L126" s="65">
        <v>0</v>
      </c>
      <c r="M126" s="65">
        <f t="shared" si="29"/>
        <v>0</v>
      </c>
      <c r="N126" s="65">
        <v>0</v>
      </c>
      <c r="O126" s="65">
        <v>0</v>
      </c>
      <c r="P126" s="65">
        <v>0</v>
      </c>
      <c r="Q126" s="65">
        <v>0</v>
      </c>
      <c r="R126" s="65">
        <v>0</v>
      </c>
      <c r="S126" s="65">
        <v>0</v>
      </c>
      <c r="T126" s="65">
        <f t="shared" si="30"/>
        <v>0</v>
      </c>
      <c r="U126" s="65">
        <v>0</v>
      </c>
      <c r="V126" s="65">
        <v>0</v>
      </c>
      <c r="W126" s="65">
        <v>0</v>
      </c>
      <c r="X126" s="65">
        <v>0</v>
      </c>
      <c r="Y126" s="65">
        <v>0</v>
      </c>
      <c r="Z126" s="65">
        <f t="shared" si="31"/>
        <v>1</v>
      </c>
      <c r="AA126" s="65">
        <f t="shared" si="32"/>
        <v>29.240000000000002</v>
      </c>
      <c r="AB126" s="65">
        <f t="shared" si="33"/>
        <v>21.35</v>
      </c>
      <c r="AC126" s="65">
        <f t="shared" si="34"/>
        <v>0</v>
      </c>
      <c r="AD126" s="65">
        <f t="shared" si="35"/>
        <v>7.89</v>
      </c>
      <c r="AE126" s="65">
        <f t="shared" si="36"/>
        <v>0</v>
      </c>
      <c r="AF126" s="65">
        <f t="shared" si="37"/>
        <v>0</v>
      </c>
      <c r="AG126" s="65">
        <f t="shared" si="38"/>
        <v>1</v>
      </c>
      <c r="AH126" s="65">
        <f t="shared" si="39"/>
        <v>29.240000000000002</v>
      </c>
      <c r="AI126" s="65">
        <v>0</v>
      </c>
      <c r="AJ126" s="65">
        <v>0</v>
      </c>
      <c r="AK126" s="65">
        <v>0</v>
      </c>
      <c r="AL126" s="65">
        <v>0</v>
      </c>
      <c r="AM126" s="65"/>
      <c r="AN126" s="65">
        <f t="shared" si="41"/>
        <v>1</v>
      </c>
      <c r="AO126" s="65">
        <f t="shared" si="27"/>
        <v>29.240000000000002</v>
      </c>
      <c r="AP126" s="65">
        <f t="shared" si="40"/>
        <v>29.240000000000002</v>
      </c>
    </row>
    <row r="127" spans="1:43" s="57" customFormat="1">
      <c r="A127" s="86" t="s">
        <v>126</v>
      </c>
      <c r="B127" s="158" t="s">
        <v>211</v>
      </c>
      <c r="C127" s="161" t="s">
        <v>335</v>
      </c>
      <c r="D127" s="159"/>
      <c r="E127" s="65">
        <v>16</v>
      </c>
      <c r="F127" s="65">
        <f t="shared" si="28"/>
        <v>12832.939999999999</v>
      </c>
      <c r="G127" s="65">
        <v>2686.1000000000004</v>
      </c>
      <c r="H127" s="65">
        <v>39.840000000000003</v>
      </c>
      <c r="I127" s="65">
        <v>790.56000000000006</v>
      </c>
      <c r="J127" s="65">
        <v>9217.7999999999993</v>
      </c>
      <c r="K127" s="65">
        <v>98.64</v>
      </c>
      <c r="L127" s="65">
        <v>0</v>
      </c>
      <c r="M127" s="65">
        <f t="shared" si="29"/>
        <v>0</v>
      </c>
      <c r="N127" s="65">
        <v>0</v>
      </c>
      <c r="O127" s="65">
        <v>0</v>
      </c>
      <c r="P127" s="65">
        <v>0</v>
      </c>
      <c r="Q127" s="65">
        <v>0</v>
      </c>
      <c r="R127" s="65">
        <v>0</v>
      </c>
      <c r="S127" s="65">
        <v>32</v>
      </c>
      <c r="T127" s="65">
        <f t="shared" si="30"/>
        <v>15947.920000000002</v>
      </c>
      <c r="U127" s="65">
        <v>2861.86</v>
      </c>
      <c r="V127" s="65">
        <v>691.76</v>
      </c>
      <c r="W127" s="65">
        <v>960.57</v>
      </c>
      <c r="X127" s="65">
        <v>9509.6</v>
      </c>
      <c r="Y127" s="65">
        <v>1924.13</v>
      </c>
      <c r="Z127" s="65">
        <f t="shared" si="31"/>
        <v>48</v>
      </c>
      <c r="AA127" s="65">
        <f t="shared" si="32"/>
        <v>28780.86</v>
      </c>
      <c r="AB127" s="65">
        <f t="shared" si="33"/>
        <v>5547.9600000000009</v>
      </c>
      <c r="AC127" s="65">
        <f t="shared" si="34"/>
        <v>731.6</v>
      </c>
      <c r="AD127" s="65">
        <f t="shared" si="35"/>
        <v>1751.13</v>
      </c>
      <c r="AE127" s="65">
        <f t="shared" si="36"/>
        <v>18727.400000000001</v>
      </c>
      <c r="AF127" s="65">
        <f t="shared" si="37"/>
        <v>2022.7700000000002</v>
      </c>
      <c r="AG127" s="65">
        <f t="shared" si="38"/>
        <v>48</v>
      </c>
      <c r="AH127" s="65">
        <f t="shared" si="39"/>
        <v>28780.86</v>
      </c>
      <c r="AI127" s="65">
        <v>0</v>
      </c>
      <c r="AJ127" s="65">
        <v>0</v>
      </c>
      <c r="AK127" s="65">
        <v>0</v>
      </c>
      <c r="AL127" s="65">
        <v>0</v>
      </c>
      <c r="AM127" s="65"/>
      <c r="AN127" s="65">
        <f t="shared" si="41"/>
        <v>48</v>
      </c>
      <c r="AO127" s="65">
        <f t="shared" si="27"/>
        <v>28780.86</v>
      </c>
      <c r="AP127" s="65">
        <f t="shared" si="40"/>
        <v>599.60125000000005</v>
      </c>
    </row>
    <row r="128" spans="1:43" s="57" customFormat="1">
      <c r="A128" s="86" t="s">
        <v>169</v>
      </c>
      <c r="B128" s="158" t="s">
        <v>211</v>
      </c>
      <c r="C128" s="161" t="s">
        <v>335</v>
      </c>
      <c r="D128" s="159"/>
      <c r="E128" s="65">
        <v>873</v>
      </c>
      <c r="F128" s="65">
        <f t="shared" si="28"/>
        <v>222448.98</v>
      </c>
      <c r="G128" s="65">
        <v>31810.300000000003</v>
      </c>
      <c r="H128" s="65">
        <v>980.89</v>
      </c>
      <c r="I128" s="65">
        <v>1748.2199999999998</v>
      </c>
      <c r="J128" s="65">
        <v>184306.16</v>
      </c>
      <c r="K128" s="65">
        <v>3603.4100000000003</v>
      </c>
      <c r="L128" s="65">
        <v>0</v>
      </c>
      <c r="M128" s="65">
        <f t="shared" si="29"/>
        <v>0</v>
      </c>
      <c r="N128" s="65">
        <v>0</v>
      </c>
      <c r="O128" s="65">
        <v>0</v>
      </c>
      <c r="P128" s="65">
        <v>0</v>
      </c>
      <c r="Q128" s="65">
        <v>0</v>
      </c>
      <c r="R128" s="65">
        <v>0</v>
      </c>
      <c r="S128" s="65">
        <v>98</v>
      </c>
      <c r="T128" s="65">
        <f t="shared" si="30"/>
        <v>25153.359999999997</v>
      </c>
      <c r="U128" s="65">
        <v>6017.62</v>
      </c>
      <c r="V128" s="65">
        <v>1542.07</v>
      </c>
      <c r="W128" s="65">
        <v>5936.3499999999995</v>
      </c>
      <c r="X128" s="65">
        <v>7174.2000000000007</v>
      </c>
      <c r="Y128" s="65">
        <v>4483.12</v>
      </c>
      <c r="Z128" s="65">
        <f t="shared" si="31"/>
        <v>971</v>
      </c>
      <c r="AA128" s="65">
        <f t="shared" si="32"/>
        <v>247602.34</v>
      </c>
      <c r="AB128" s="65">
        <f t="shared" si="33"/>
        <v>37827.920000000006</v>
      </c>
      <c r="AC128" s="65">
        <f t="shared" si="34"/>
        <v>2522.96</v>
      </c>
      <c r="AD128" s="65">
        <f t="shared" si="35"/>
        <v>7684.57</v>
      </c>
      <c r="AE128" s="65">
        <f t="shared" si="36"/>
        <v>191480.36000000002</v>
      </c>
      <c r="AF128" s="65">
        <f t="shared" si="37"/>
        <v>8086.5300000000007</v>
      </c>
      <c r="AG128" s="65">
        <f t="shared" si="38"/>
        <v>971</v>
      </c>
      <c r="AH128" s="65">
        <f t="shared" si="39"/>
        <v>247602.34</v>
      </c>
      <c r="AI128" s="65">
        <v>0</v>
      </c>
      <c r="AJ128" s="65">
        <v>0</v>
      </c>
      <c r="AK128" s="65">
        <v>0</v>
      </c>
      <c r="AL128" s="65">
        <v>0</v>
      </c>
      <c r="AM128" s="65"/>
      <c r="AN128" s="65">
        <f t="shared" si="41"/>
        <v>971</v>
      </c>
      <c r="AO128" s="65">
        <f t="shared" si="27"/>
        <v>247602.34</v>
      </c>
      <c r="AP128" s="65">
        <f t="shared" si="40"/>
        <v>254.99726055612771</v>
      </c>
    </row>
    <row r="129" spans="1:43" s="57" customFormat="1">
      <c r="A129" s="86" t="s">
        <v>127</v>
      </c>
      <c r="B129" s="158" t="s">
        <v>212</v>
      </c>
      <c r="C129" s="161" t="s">
        <v>336</v>
      </c>
      <c r="D129" s="160"/>
      <c r="E129" s="65">
        <v>275</v>
      </c>
      <c r="F129" s="65">
        <f t="shared" si="28"/>
        <v>102362.97</v>
      </c>
      <c r="G129" s="65">
        <v>7526.28</v>
      </c>
      <c r="H129" s="65">
        <v>65.650000000000006</v>
      </c>
      <c r="I129" s="65">
        <v>717.18</v>
      </c>
      <c r="J129" s="65">
        <v>100125.15</v>
      </c>
      <c r="K129" s="65">
        <v>-6071.29</v>
      </c>
      <c r="L129" s="65">
        <v>4</v>
      </c>
      <c r="M129" s="65">
        <f t="shared" si="29"/>
        <v>5599.74</v>
      </c>
      <c r="N129" s="65">
        <v>0</v>
      </c>
      <c r="O129" s="65">
        <v>0</v>
      </c>
      <c r="P129" s="65">
        <v>0</v>
      </c>
      <c r="Q129" s="65">
        <v>5599.74</v>
      </c>
      <c r="R129" s="65">
        <v>0</v>
      </c>
      <c r="S129" s="65">
        <v>55</v>
      </c>
      <c r="T129" s="65">
        <f t="shared" si="30"/>
        <v>14075.77</v>
      </c>
      <c r="U129" s="65">
        <v>1905.53</v>
      </c>
      <c r="V129" s="65">
        <v>1195.6599999999999</v>
      </c>
      <c r="W129" s="65">
        <v>5164.54</v>
      </c>
      <c r="X129" s="65">
        <v>4828.47</v>
      </c>
      <c r="Y129" s="65">
        <v>981.56999999999994</v>
      </c>
      <c r="Z129" s="65">
        <f t="shared" si="31"/>
        <v>334</v>
      </c>
      <c r="AA129" s="65">
        <f t="shared" si="32"/>
        <v>122038.48000000001</v>
      </c>
      <c r="AB129" s="65">
        <f t="shared" si="33"/>
        <v>9431.81</v>
      </c>
      <c r="AC129" s="65">
        <f t="shared" si="34"/>
        <v>1261.31</v>
      </c>
      <c r="AD129" s="65">
        <f t="shared" si="35"/>
        <v>5881.72</v>
      </c>
      <c r="AE129" s="65">
        <f t="shared" si="36"/>
        <v>110553.36</v>
      </c>
      <c r="AF129" s="65">
        <f t="shared" si="37"/>
        <v>-5089.72</v>
      </c>
      <c r="AG129" s="65">
        <f t="shared" si="38"/>
        <v>334</v>
      </c>
      <c r="AH129" s="65">
        <f t="shared" si="39"/>
        <v>122038.48000000001</v>
      </c>
      <c r="AI129" s="65">
        <v>0</v>
      </c>
      <c r="AJ129" s="65">
        <v>0</v>
      </c>
      <c r="AK129" s="65">
        <v>0</v>
      </c>
      <c r="AL129" s="65">
        <v>0</v>
      </c>
      <c r="AM129" s="65"/>
      <c r="AN129" s="65">
        <f t="shared" si="41"/>
        <v>334</v>
      </c>
      <c r="AO129" s="65">
        <f t="shared" si="27"/>
        <v>122038.48000000001</v>
      </c>
      <c r="AP129" s="65">
        <f t="shared" si="40"/>
        <v>365.38467065868269</v>
      </c>
    </row>
    <row r="130" spans="1:43" s="57" customFormat="1">
      <c r="A130" s="132" t="s">
        <v>308</v>
      </c>
      <c r="B130" s="161" t="s">
        <v>213</v>
      </c>
      <c r="C130" s="161" t="s">
        <v>335</v>
      </c>
      <c r="D130" s="160"/>
      <c r="E130" s="65">
        <v>0</v>
      </c>
      <c r="F130" s="65">
        <f t="shared" si="28"/>
        <v>0</v>
      </c>
      <c r="G130" s="65">
        <v>0</v>
      </c>
      <c r="H130" s="65">
        <v>0</v>
      </c>
      <c r="I130" s="65">
        <v>0</v>
      </c>
      <c r="J130" s="65">
        <v>0</v>
      </c>
      <c r="K130" s="65">
        <v>0</v>
      </c>
      <c r="L130" s="65">
        <v>0</v>
      </c>
      <c r="M130" s="65">
        <f t="shared" si="29"/>
        <v>0</v>
      </c>
      <c r="N130" s="65">
        <v>0</v>
      </c>
      <c r="O130" s="65">
        <v>0</v>
      </c>
      <c r="P130" s="65">
        <v>0</v>
      </c>
      <c r="Q130" s="65">
        <v>0</v>
      </c>
      <c r="R130" s="65">
        <v>0</v>
      </c>
      <c r="S130" s="65">
        <v>0</v>
      </c>
      <c r="T130" s="65">
        <f t="shared" si="30"/>
        <v>0</v>
      </c>
      <c r="U130" s="65">
        <v>0</v>
      </c>
      <c r="V130" s="65">
        <v>0</v>
      </c>
      <c r="W130" s="65">
        <v>0</v>
      </c>
      <c r="X130" s="65">
        <v>0</v>
      </c>
      <c r="Y130" s="65">
        <v>0</v>
      </c>
      <c r="Z130" s="65">
        <f t="shared" si="31"/>
        <v>0</v>
      </c>
      <c r="AA130" s="65">
        <f t="shared" si="32"/>
        <v>0</v>
      </c>
      <c r="AB130" s="65">
        <f t="shared" si="33"/>
        <v>0</v>
      </c>
      <c r="AC130" s="65">
        <f t="shared" si="34"/>
        <v>0</v>
      </c>
      <c r="AD130" s="65">
        <f t="shared" si="35"/>
        <v>0</v>
      </c>
      <c r="AE130" s="65">
        <f t="shared" si="36"/>
        <v>0</v>
      </c>
      <c r="AF130" s="65">
        <f t="shared" si="37"/>
        <v>0</v>
      </c>
      <c r="AG130" s="65">
        <f t="shared" si="38"/>
        <v>0</v>
      </c>
      <c r="AH130" s="65">
        <f t="shared" si="39"/>
        <v>0</v>
      </c>
      <c r="AI130" s="65">
        <v>0</v>
      </c>
      <c r="AJ130" s="65">
        <v>0</v>
      </c>
      <c r="AK130" s="65">
        <v>0</v>
      </c>
      <c r="AL130" s="65">
        <v>0</v>
      </c>
      <c r="AM130" s="65"/>
      <c r="AN130" s="65">
        <f t="shared" si="41"/>
        <v>0</v>
      </c>
      <c r="AO130" s="65">
        <f t="shared" si="27"/>
        <v>0</v>
      </c>
      <c r="AP130" s="65" t="e">
        <f t="shared" si="40"/>
        <v>#DIV/0!</v>
      </c>
    </row>
    <row r="131" spans="1:43" s="57" customFormat="1">
      <c r="A131" s="86" t="s">
        <v>35</v>
      </c>
      <c r="B131" s="158" t="s">
        <v>213</v>
      </c>
      <c r="C131" s="161" t="s">
        <v>337</v>
      </c>
      <c r="D131" s="159" t="s">
        <v>174</v>
      </c>
      <c r="E131" s="65">
        <v>2514</v>
      </c>
      <c r="F131" s="65">
        <f t="shared" si="28"/>
        <v>2391271.2599999998</v>
      </c>
      <c r="G131" s="65">
        <v>236973.98</v>
      </c>
      <c r="H131" s="65">
        <v>28344.46</v>
      </c>
      <c r="I131" s="65">
        <v>132098.78</v>
      </c>
      <c r="J131" s="65">
        <v>1882978.3499999999</v>
      </c>
      <c r="K131" s="65">
        <v>110875.68999999999</v>
      </c>
      <c r="L131" s="65">
        <v>42</v>
      </c>
      <c r="M131" s="65">
        <f t="shared" si="29"/>
        <v>83880.209999999992</v>
      </c>
      <c r="N131" s="65">
        <v>20367.599999999999</v>
      </c>
      <c r="O131" s="65">
        <v>656.99</v>
      </c>
      <c r="P131" s="65">
        <v>23208.61</v>
      </c>
      <c r="Q131" s="65">
        <v>34152.83</v>
      </c>
      <c r="R131" s="65">
        <v>5494.18</v>
      </c>
      <c r="S131" s="65">
        <v>28421</v>
      </c>
      <c r="T131" s="65">
        <f t="shared" si="30"/>
        <v>59649439.480000004</v>
      </c>
      <c r="U131" s="65">
        <v>12317393.399999999</v>
      </c>
      <c r="V131" s="65">
        <v>1497935.4300000002</v>
      </c>
      <c r="W131" s="65">
        <v>6814202.8600000003</v>
      </c>
      <c r="X131" s="65">
        <v>33747390.340000004</v>
      </c>
      <c r="Y131" s="65">
        <v>5272517.45</v>
      </c>
      <c r="Z131" s="65">
        <f t="shared" si="31"/>
        <v>30977</v>
      </c>
      <c r="AA131" s="65">
        <f t="shared" si="32"/>
        <v>62124590.950000003</v>
      </c>
      <c r="AB131" s="65">
        <f t="shared" si="33"/>
        <v>12574734.979999999</v>
      </c>
      <c r="AC131" s="65">
        <f t="shared" si="34"/>
        <v>1526936.8800000001</v>
      </c>
      <c r="AD131" s="65">
        <f t="shared" si="35"/>
        <v>6969510.25</v>
      </c>
      <c r="AE131" s="65">
        <f t="shared" si="36"/>
        <v>35664521.520000003</v>
      </c>
      <c r="AF131" s="65">
        <f t="shared" si="37"/>
        <v>5388887.3200000003</v>
      </c>
      <c r="AG131" s="65">
        <f t="shared" si="38"/>
        <v>30977</v>
      </c>
      <c r="AH131" s="65">
        <f t="shared" si="39"/>
        <v>62124590.950000003</v>
      </c>
      <c r="AI131" s="65">
        <v>0</v>
      </c>
      <c r="AJ131" s="65">
        <v>0</v>
      </c>
      <c r="AK131" s="65">
        <v>0</v>
      </c>
      <c r="AL131" s="65">
        <v>0</v>
      </c>
      <c r="AM131" s="65">
        <v>3171856.8704113401</v>
      </c>
      <c r="AN131" s="65">
        <f t="shared" si="41"/>
        <v>30977</v>
      </c>
      <c r="AO131" s="65">
        <f t="shared" si="27"/>
        <v>62124590.950000003</v>
      </c>
      <c r="AP131" s="65">
        <f t="shared" si="40"/>
        <v>2005.5070197243117</v>
      </c>
      <c r="AQ131" s="85"/>
    </row>
    <row r="132" spans="1:43" s="57" customFormat="1">
      <c r="A132" s="86" t="s">
        <v>128</v>
      </c>
      <c r="B132" s="158" t="s">
        <v>212</v>
      </c>
      <c r="C132" s="161" t="s">
        <v>335</v>
      </c>
      <c r="D132" s="159"/>
      <c r="E132" s="65">
        <v>45</v>
      </c>
      <c r="F132" s="65">
        <f t="shared" si="28"/>
        <v>13093.78</v>
      </c>
      <c r="G132" s="65">
        <v>7688.76</v>
      </c>
      <c r="H132" s="65">
        <v>1350.66</v>
      </c>
      <c r="I132" s="65">
        <v>343.07000000000005</v>
      </c>
      <c r="J132" s="65">
        <v>3670.01</v>
      </c>
      <c r="K132" s="65">
        <v>41.28</v>
      </c>
      <c r="L132" s="65">
        <v>0</v>
      </c>
      <c r="M132" s="65">
        <f t="shared" si="29"/>
        <v>0</v>
      </c>
      <c r="N132" s="65">
        <v>0</v>
      </c>
      <c r="O132" s="65">
        <v>0</v>
      </c>
      <c r="P132" s="65">
        <v>0</v>
      </c>
      <c r="Q132" s="65">
        <v>0</v>
      </c>
      <c r="R132" s="65">
        <v>0</v>
      </c>
      <c r="S132" s="65">
        <v>138</v>
      </c>
      <c r="T132" s="65">
        <f t="shared" si="30"/>
        <v>21932.22</v>
      </c>
      <c r="U132" s="65">
        <v>8191.4000000000005</v>
      </c>
      <c r="V132" s="65">
        <v>1632.8600000000001</v>
      </c>
      <c r="W132" s="65">
        <v>4582.62</v>
      </c>
      <c r="X132" s="65">
        <v>3507.37</v>
      </c>
      <c r="Y132" s="65">
        <v>4017.97</v>
      </c>
      <c r="Z132" s="65">
        <f t="shared" si="31"/>
        <v>183</v>
      </c>
      <c r="AA132" s="65">
        <f t="shared" si="32"/>
        <v>35026</v>
      </c>
      <c r="AB132" s="65">
        <f t="shared" si="33"/>
        <v>15880.16</v>
      </c>
      <c r="AC132" s="65">
        <f t="shared" si="34"/>
        <v>2983.5200000000004</v>
      </c>
      <c r="AD132" s="65">
        <f t="shared" si="35"/>
        <v>4925.6899999999996</v>
      </c>
      <c r="AE132" s="65">
        <f t="shared" si="36"/>
        <v>7177.38</v>
      </c>
      <c r="AF132" s="65">
        <f t="shared" si="37"/>
        <v>4059.25</v>
      </c>
      <c r="AG132" s="65">
        <f t="shared" si="38"/>
        <v>183</v>
      </c>
      <c r="AH132" s="65">
        <f t="shared" si="39"/>
        <v>35026</v>
      </c>
      <c r="AI132" s="65">
        <v>0</v>
      </c>
      <c r="AJ132" s="65">
        <v>0</v>
      </c>
      <c r="AK132" s="65">
        <v>0</v>
      </c>
      <c r="AL132" s="65">
        <v>0</v>
      </c>
      <c r="AM132" s="65"/>
      <c r="AN132" s="65">
        <f t="shared" si="41"/>
        <v>183</v>
      </c>
      <c r="AO132" s="65">
        <f t="shared" si="27"/>
        <v>35026</v>
      </c>
      <c r="AP132" s="65">
        <f t="shared" si="40"/>
        <v>191.39890710382514</v>
      </c>
    </row>
    <row r="133" spans="1:43" s="57" customFormat="1">
      <c r="A133" s="86" t="s">
        <v>36</v>
      </c>
      <c r="B133" s="158" t="s">
        <v>211</v>
      </c>
      <c r="C133" s="161" t="s">
        <v>336</v>
      </c>
      <c r="D133" s="159" t="s">
        <v>174</v>
      </c>
      <c r="E133" s="65">
        <v>11</v>
      </c>
      <c r="F133" s="65">
        <f t="shared" si="28"/>
        <v>8906.11</v>
      </c>
      <c r="G133" s="65">
        <v>3754.67</v>
      </c>
      <c r="H133" s="65">
        <v>17.350000000000001</v>
      </c>
      <c r="I133" s="65">
        <v>94.2</v>
      </c>
      <c r="J133" s="65">
        <v>4697.87</v>
      </c>
      <c r="K133" s="65">
        <v>342.02</v>
      </c>
      <c r="L133" s="65">
        <v>54</v>
      </c>
      <c r="M133" s="65">
        <f t="shared" si="29"/>
        <v>125666.19</v>
      </c>
      <c r="N133" s="65">
        <v>36622.720000000001</v>
      </c>
      <c r="O133" s="65">
        <v>0</v>
      </c>
      <c r="P133" s="65">
        <v>0</v>
      </c>
      <c r="Q133" s="65">
        <v>85161.16</v>
      </c>
      <c r="R133" s="65">
        <v>3882.31</v>
      </c>
      <c r="S133" s="65">
        <v>13216</v>
      </c>
      <c r="T133" s="65">
        <f t="shared" si="30"/>
        <v>5280422.76</v>
      </c>
      <c r="U133" s="65">
        <v>2208632.7400000002</v>
      </c>
      <c r="V133" s="65">
        <v>14097.55</v>
      </c>
      <c r="W133" s="65">
        <v>1151381.96</v>
      </c>
      <c r="X133" s="65">
        <v>1170093.82</v>
      </c>
      <c r="Y133" s="65">
        <v>736216.69</v>
      </c>
      <c r="Z133" s="65">
        <f t="shared" si="31"/>
        <v>13281</v>
      </c>
      <c r="AA133" s="65">
        <f t="shared" si="32"/>
        <v>5414995.0599999996</v>
      </c>
      <c r="AB133" s="65">
        <f t="shared" si="33"/>
        <v>2249010.1300000004</v>
      </c>
      <c r="AC133" s="65">
        <f t="shared" si="34"/>
        <v>14114.9</v>
      </c>
      <c r="AD133" s="65">
        <f t="shared" si="35"/>
        <v>1151476.1599999999</v>
      </c>
      <c r="AE133" s="65">
        <f t="shared" si="36"/>
        <v>1259952.8500000001</v>
      </c>
      <c r="AF133" s="65">
        <f t="shared" si="37"/>
        <v>740441.0199999999</v>
      </c>
      <c r="AG133" s="65">
        <f t="shared" si="38"/>
        <v>13281</v>
      </c>
      <c r="AH133" s="65">
        <f t="shared" si="39"/>
        <v>5414995.0599999996</v>
      </c>
      <c r="AI133" s="65">
        <v>0</v>
      </c>
      <c r="AJ133" s="65">
        <v>0</v>
      </c>
      <c r="AK133" s="65">
        <v>1</v>
      </c>
      <c r="AL133" s="65">
        <v>337.88</v>
      </c>
      <c r="AM133" s="65"/>
      <c r="AN133" s="65">
        <f t="shared" si="41"/>
        <v>13282</v>
      </c>
      <c r="AO133" s="65">
        <f t="shared" si="27"/>
        <v>5415332.9399999995</v>
      </c>
      <c r="AP133" s="65">
        <f t="shared" si="40"/>
        <v>407.71969131154941</v>
      </c>
    </row>
    <row r="134" spans="1:43" s="57" customFormat="1">
      <c r="A134" s="86" t="s">
        <v>221</v>
      </c>
      <c r="B134" s="158" t="s">
        <v>209</v>
      </c>
      <c r="C134" s="161" t="s">
        <v>335</v>
      </c>
      <c r="D134" s="159"/>
      <c r="E134" s="65">
        <v>14</v>
      </c>
      <c r="F134" s="65">
        <f t="shared" si="28"/>
        <v>7921.97</v>
      </c>
      <c r="G134" s="65">
        <v>286.24</v>
      </c>
      <c r="H134" s="65">
        <v>0</v>
      </c>
      <c r="I134" s="65">
        <v>140.93</v>
      </c>
      <c r="J134" s="65">
        <v>7490.16</v>
      </c>
      <c r="K134" s="65">
        <v>4.6399999999999997</v>
      </c>
      <c r="L134" s="65">
        <v>0</v>
      </c>
      <c r="M134" s="65">
        <f t="shared" si="29"/>
        <v>0</v>
      </c>
      <c r="N134" s="65">
        <v>0</v>
      </c>
      <c r="O134" s="65">
        <v>0</v>
      </c>
      <c r="P134" s="65">
        <v>0</v>
      </c>
      <c r="Q134" s="65">
        <v>0</v>
      </c>
      <c r="R134" s="65">
        <v>0</v>
      </c>
      <c r="S134" s="65">
        <v>8</v>
      </c>
      <c r="T134" s="65">
        <f t="shared" si="30"/>
        <v>384.2</v>
      </c>
      <c r="U134" s="65">
        <v>183.6</v>
      </c>
      <c r="V134" s="65">
        <v>0</v>
      </c>
      <c r="W134" s="65">
        <v>63.65</v>
      </c>
      <c r="X134" s="65">
        <v>0</v>
      </c>
      <c r="Y134" s="65">
        <v>136.94999999999999</v>
      </c>
      <c r="Z134" s="65">
        <f t="shared" si="31"/>
        <v>22</v>
      </c>
      <c r="AA134" s="65">
        <f t="shared" si="32"/>
        <v>8306.17</v>
      </c>
      <c r="AB134" s="65">
        <f t="shared" si="33"/>
        <v>469.84000000000003</v>
      </c>
      <c r="AC134" s="65">
        <f t="shared" si="34"/>
        <v>0</v>
      </c>
      <c r="AD134" s="65">
        <f t="shared" si="35"/>
        <v>204.58</v>
      </c>
      <c r="AE134" s="65">
        <f t="shared" si="36"/>
        <v>7490.16</v>
      </c>
      <c r="AF134" s="65">
        <f t="shared" si="37"/>
        <v>141.58999999999997</v>
      </c>
      <c r="AG134" s="65">
        <f t="shared" si="38"/>
        <v>22</v>
      </c>
      <c r="AH134" s="65">
        <f t="shared" si="39"/>
        <v>8306.17</v>
      </c>
      <c r="AI134" s="65">
        <v>0</v>
      </c>
      <c r="AJ134" s="65">
        <v>0</v>
      </c>
      <c r="AK134" s="65">
        <v>0</v>
      </c>
      <c r="AL134" s="65">
        <v>0</v>
      </c>
      <c r="AM134" s="65"/>
      <c r="AN134" s="65">
        <f t="shared" si="41"/>
        <v>22</v>
      </c>
      <c r="AO134" s="65">
        <f t="shared" si="27"/>
        <v>8306.17</v>
      </c>
      <c r="AP134" s="65">
        <f t="shared" si="40"/>
        <v>377.55318181818183</v>
      </c>
    </row>
    <row r="135" spans="1:43" s="57" customFormat="1">
      <c r="A135" s="86" t="s">
        <v>222</v>
      </c>
      <c r="B135" s="158" t="s">
        <v>209</v>
      </c>
      <c r="C135" s="161" t="s">
        <v>335</v>
      </c>
      <c r="D135" s="159"/>
      <c r="E135" s="65">
        <v>35</v>
      </c>
      <c r="F135" s="65">
        <f t="shared" si="28"/>
        <v>4409.9400000000005</v>
      </c>
      <c r="G135" s="65">
        <v>1813.97</v>
      </c>
      <c r="H135" s="65">
        <v>121.67</v>
      </c>
      <c r="I135" s="65">
        <v>60.69</v>
      </c>
      <c r="J135" s="65">
        <v>2413.61</v>
      </c>
      <c r="K135" s="65">
        <v>0</v>
      </c>
      <c r="L135" s="65">
        <v>1</v>
      </c>
      <c r="M135" s="65">
        <f t="shared" si="29"/>
        <v>765</v>
      </c>
      <c r="N135" s="65">
        <v>0</v>
      </c>
      <c r="O135" s="65">
        <v>0</v>
      </c>
      <c r="P135" s="65">
        <v>0</v>
      </c>
      <c r="Q135" s="65">
        <v>765</v>
      </c>
      <c r="R135" s="65">
        <v>0</v>
      </c>
      <c r="S135" s="65">
        <v>44</v>
      </c>
      <c r="T135" s="65">
        <f t="shared" si="30"/>
        <v>7152.5199999999995</v>
      </c>
      <c r="U135" s="65">
        <v>2399.36</v>
      </c>
      <c r="V135" s="65">
        <v>349.22</v>
      </c>
      <c r="W135" s="65">
        <v>1528.86</v>
      </c>
      <c r="X135" s="65">
        <v>1203.7</v>
      </c>
      <c r="Y135" s="65">
        <v>1671.3799999999999</v>
      </c>
      <c r="Z135" s="65">
        <f t="shared" si="31"/>
        <v>80</v>
      </c>
      <c r="AA135" s="65">
        <f t="shared" si="32"/>
        <v>12327.46</v>
      </c>
      <c r="AB135" s="65">
        <f t="shared" si="33"/>
        <v>4213.33</v>
      </c>
      <c r="AC135" s="65">
        <f t="shared" si="34"/>
        <v>470.89000000000004</v>
      </c>
      <c r="AD135" s="65">
        <f t="shared" si="35"/>
        <v>1589.55</v>
      </c>
      <c r="AE135" s="65">
        <f t="shared" si="36"/>
        <v>4382.3100000000004</v>
      </c>
      <c r="AF135" s="65">
        <f t="shared" si="37"/>
        <v>1671.3799999999999</v>
      </c>
      <c r="AG135" s="65">
        <f t="shared" si="38"/>
        <v>80</v>
      </c>
      <c r="AH135" s="65">
        <f t="shared" si="39"/>
        <v>12327.46</v>
      </c>
      <c r="AI135" s="65">
        <v>0</v>
      </c>
      <c r="AJ135" s="65">
        <v>0</v>
      </c>
      <c r="AK135" s="65">
        <v>0</v>
      </c>
      <c r="AL135" s="65">
        <v>0</v>
      </c>
      <c r="AM135" s="65"/>
      <c r="AN135" s="65">
        <f t="shared" si="41"/>
        <v>80</v>
      </c>
      <c r="AO135" s="65">
        <f t="shared" si="27"/>
        <v>12327.46</v>
      </c>
      <c r="AP135" s="65">
        <f t="shared" si="40"/>
        <v>154.09324999999998</v>
      </c>
    </row>
    <row r="136" spans="1:43" s="57" customFormat="1">
      <c r="A136" s="86" t="s">
        <v>223</v>
      </c>
      <c r="B136" s="158" t="s">
        <v>211</v>
      </c>
      <c r="C136" s="161" t="s">
        <v>335</v>
      </c>
      <c r="D136" s="159"/>
      <c r="E136" s="65">
        <v>1878</v>
      </c>
      <c r="F136" s="65">
        <f t="shared" si="28"/>
        <v>668900.17999999993</v>
      </c>
      <c r="G136" s="65">
        <v>123067.98999999999</v>
      </c>
      <c r="H136" s="65">
        <v>469.31000000000006</v>
      </c>
      <c r="I136" s="65">
        <v>6602.95</v>
      </c>
      <c r="J136" s="65">
        <v>522291.74</v>
      </c>
      <c r="K136" s="65">
        <v>16468.189999999999</v>
      </c>
      <c r="L136" s="65">
        <v>1</v>
      </c>
      <c r="M136" s="65">
        <f t="shared" si="29"/>
        <v>22.57</v>
      </c>
      <c r="N136" s="65">
        <v>16.100000000000001</v>
      </c>
      <c r="O136" s="65">
        <v>0</v>
      </c>
      <c r="P136" s="65">
        <v>6.47</v>
      </c>
      <c r="Q136" s="65">
        <v>0</v>
      </c>
      <c r="R136" s="65">
        <v>0</v>
      </c>
      <c r="S136" s="65">
        <v>83</v>
      </c>
      <c r="T136" s="65">
        <f t="shared" si="30"/>
        <v>39365.579999999994</v>
      </c>
      <c r="U136" s="65">
        <v>8064.65</v>
      </c>
      <c r="V136" s="65">
        <v>1665.0700000000002</v>
      </c>
      <c r="W136" s="65">
        <v>6944.53</v>
      </c>
      <c r="X136" s="65">
        <v>17325.509999999998</v>
      </c>
      <c r="Y136" s="65">
        <v>5365.8200000000006</v>
      </c>
      <c r="Z136" s="65">
        <f t="shared" si="31"/>
        <v>1962</v>
      </c>
      <c r="AA136" s="65">
        <f t="shared" si="32"/>
        <v>708288.32999999984</v>
      </c>
      <c r="AB136" s="65">
        <f t="shared" si="33"/>
        <v>131148.74</v>
      </c>
      <c r="AC136" s="65">
        <f t="shared" si="34"/>
        <v>2134.38</v>
      </c>
      <c r="AD136" s="65">
        <f t="shared" si="35"/>
        <v>13553.95</v>
      </c>
      <c r="AE136" s="65">
        <f t="shared" si="36"/>
        <v>539617.25</v>
      </c>
      <c r="AF136" s="65">
        <f t="shared" si="37"/>
        <v>21834.01</v>
      </c>
      <c r="AG136" s="65">
        <f t="shared" si="38"/>
        <v>1962</v>
      </c>
      <c r="AH136" s="65">
        <f t="shared" si="39"/>
        <v>708288.32999999984</v>
      </c>
      <c r="AI136" s="65">
        <v>0</v>
      </c>
      <c r="AJ136" s="65">
        <v>0</v>
      </c>
      <c r="AK136" s="65">
        <v>0</v>
      </c>
      <c r="AL136" s="65">
        <v>0</v>
      </c>
      <c r="AM136" s="65"/>
      <c r="AN136" s="65">
        <f t="shared" si="41"/>
        <v>1962</v>
      </c>
      <c r="AO136" s="65">
        <f t="shared" ref="AO136:AO192" si="42">AH136+AJ136+AL136</f>
        <v>708288.32999999984</v>
      </c>
      <c r="AP136" s="65">
        <f t="shared" si="40"/>
        <v>361.00322629969412</v>
      </c>
    </row>
    <row r="137" spans="1:43" s="57" customFormat="1">
      <c r="A137" s="132" t="s">
        <v>272</v>
      </c>
      <c r="B137" s="161" t="s">
        <v>212</v>
      </c>
      <c r="C137" s="161" t="s">
        <v>335</v>
      </c>
      <c r="D137" s="159"/>
      <c r="E137" s="65">
        <v>21</v>
      </c>
      <c r="F137" s="65">
        <f t="shared" si="28"/>
        <v>1931.3700000000003</v>
      </c>
      <c r="G137" s="65">
        <v>1581.2400000000002</v>
      </c>
      <c r="H137" s="65">
        <v>0</v>
      </c>
      <c r="I137" s="65">
        <v>2.4700000000000002</v>
      </c>
      <c r="J137" s="65">
        <v>347.66</v>
      </c>
      <c r="K137" s="65">
        <v>0</v>
      </c>
      <c r="L137" s="65">
        <v>1</v>
      </c>
      <c r="M137" s="65">
        <f t="shared" si="29"/>
        <v>15.1</v>
      </c>
      <c r="N137" s="65">
        <v>15.1</v>
      </c>
      <c r="O137" s="65">
        <v>0</v>
      </c>
      <c r="P137" s="65">
        <v>0</v>
      </c>
      <c r="Q137" s="65">
        <v>0</v>
      </c>
      <c r="R137" s="65">
        <v>0</v>
      </c>
      <c r="S137" s="65">
        <v>4</v>
      </c>
      <c r="T137" s="65">
        <f t="shared" si="30"/>
        <v>138.52000000000001</v>
      </c>
      <c r="U137" s="65">
        <v>62.16</v>
      </c>
      <c r="V137" s="65">
        <v>67.760000000000005</v>
      </c>
      <c r="W137" s="65">
        <v>8.6</v>
      </c>
      <c r="X137" s="65">
        <v>0</v>
      </c>
      <c r="Y137" s="65">
        <v>0</v>
      </c>
      <c r="Z137" s="65">
        <f t="shared" si="31"/>
        <v>26</v>
      </c>
      <c r="AA137" s="65">
        <f t="shared" si="32"/>
        <v>2084.9900000000002</v>
      </c>
      <c r="AB137" s="65">
        <f t="shared" si="33"/>
        <v>1658.5000000000002</v>
      </c>
      <c r="AC137" s="65">
        <f t="shared" si="34"/>
        <v>67.760000000000005</v>
      </c>
      <c r="AD137" s="65">
        <f t="shared" si="35"/>
        <v>11.07</v>
      </c>
      <c r="AE137" s="65">
        <f t="shared" si="36"/>
        <v>347.66</v>
      </c>
      <c r="AF137" s="65">
        <f t="shared" si="37"/>
        <v>0</v>
      </c>
      <c r="AG137" s="65">
        <f t="shared" si="38"/>
        <v>26</v>
      </c>
      <c r="AH137" s="65">
        <f t="shared" si="39"/>
        <v>2084.9900000000002</v>
      </c>
      <c r="AI137" s="65">
        <v>0</v>
      </c>
      <c r="AJ137" s="65">
        <v>0</v>
      </c>
      <c r="AK137" s="65">
        <v>0</v>
      </c>
      <c r="AL137" s="65">
        <v>0</v>
      </c>
      <c r="AM137" s="65"/>
      <c r="AN137" s="65">
        <f t="shared" si="41"/>
        <v>26</v>
      </c>
      <c r="AO137" s="65">
        <f t="shared" si="42"/>
        <v>2084.9900000000002</v>
      </c>
      <c r="AP137" s="65">
        <f t="shared" si="40"/>
        <v>80.191923076923089</v>
      </c>
    </row>
    <row r="138" spans="1:43" s="57" customFormat="1">
      <c r="A138" s="86" t="s">
        <v>129</v>
      </c>
      <c r="B138" s="158" t="s">
        <v>210</v>
      </c>
      <c r="C138" s="161" t="s">
        <v>335</v>
      </c>
      <c r="D138" s="159"/>
      <c r="E138" s="65">
        <v>383</v>
      </c>
      <c r="F138" s="65">
        <f t="shared" ref="F138:F192" si="43">SUM(G138:K138)</f>
        <v>126060.3</v>
      </c>
      <c r="G138" s="65">
        <v>20464.05</v>
      </c>
      <c r="H138" s="65">
        <v>1587.3799999999999</v>
      </c>
      <c r="I138" s="65">
        <v>1389.76</v>
      </c>
      <c r="J138" s="65">
        <v>101041.06</v>
      </c>
      <c r="K138" s="65">
        <v>1578.05</v>
      </c>
      <c r="L138" s="65">
        <v>0</v>
      </c>
      <c r="M138" s="65">
        <f t="shared" ref="M138:M192" si="44">SUM(N138:R138)</f>
        <v>0</v>
      </c>
      <c r="N138" s="65">
        <v>0</v>
      </c>
      <c r="O138" s="65">
        <v>0</v>
      </c>
      <c r="P138" s="65">
        <v>0</v>
      </c>
      <c r="Q138" s="65">
        <v>0</v>
      </c>
      <c r="R138" s="65">
        <v>0</v>
      </c>
      <c r="S138" s="65">
        <v>200</v>
      </c>
      <c r="T138" s="65">
        <f t="shared" ref="T138:T192" si="45">SUM(U138:Y138)</f>
        <v>35128</v>
      </c>
      <c r="U138" s="65">
        <v>9968.18</v>
      </c>
      <c r="V138" s="65">
        <v>2916.33</v>
      </c>
      <c r="W138" s="65">
        <v>3087.36</v>
      </c>
      <c r="X138" s="65">
        <v>13113.16</v>
      </c>
      <c r="Y138" s="65">
        <v>6042.9699999999993</v>
      </c>
      <c r="Z138" s="65">
        <f t="shared" ref="Z138:Z192" si="46">E138+L138+S138</f>
        <v>583</v>
      </c>
      <c r="AA138" s="65">
        <f t="shared" ref="AA138:AA192" si="47">F138+M138+T138</f>
        <v>161188.29999999999</v>
      </c>
      <c r="AB138" s="65">
        <f t="shared" ref="AB138:AB192" si="48">G138+N138+U138</f>
        <v>30432.23</v>
      </c>
      <c r="AC138" s="65">
        <f t="shared" ref="AC138:AC192" si="49">H138+O138+V138</f>
        <v>4503.71</v>
      </c>
      <c r="AD138" s="65">
        <f t="shared" ref="AD138:AD192" si="50">I138+P138+W138</f>
        <v>4477.12</v>
      </c>
      <c r="AE138" s="65">
        <f t="shared" ref="AE138:AE192" si="51">J138+Q138+X138</f>
        <v>114154.22</v>
      </c>
      <c r="AF138" s="65">
        <f t="shared" ref="AF138:AF192" si="52">K138+R138+Y138</f>
        <v>7621.0199999999995</v>
      </c>
      <c r="AG138" s="65">
        <f t="shared" ref="AG138:AG192" si="53">Z138</f>
        <v>583</v>
      </c>
      <c r="AH138" s="65">
        <f t="shared" ref="AH138:AH192" si="54">AA138</f>
        <v>161188.29999999999</v>
      </c>
      <c r="AI138" s="65">
        <v>0</v>
      </c>
      <c r="AJ138" s="65">
        <v>0</v>
      </c>
      <c r="AK138" s="65">
        <v>0</v>
      </c>
      <c r="AL138" s="65">
        <v>0</v>
      </c>
      <c r="AM138" s="65"/>
      <c r="AN138" s="65">
        <f t="shared" si="41"/>
        <v>583</v>
      </c>
      <c r="AO138" s="65">
        <f t="shared" si="42"/>
        <v>161188.29999999999</v>
      </c>
      <c r="AP138" s="65">
        <f t="shared" ref="AP138:AP192" si="55">AO138/AN138</f>
        <v>276.48078902229844</v>
      </c>
    </row>
    <row r="139" spans="1:43" s="57" customFormat="1">
      <c r="A139" s="86" t="s">
        <v>130</v>
      </c>
      <c r="B139" s="158" t="s">
        <v>209</v>
      </c>
      <c r="C139" s="161" t="s">
        <v>335</v>
      </c>
      <c r="D139" s="159"/>
      <c r="E139" s="65">
        <v>12</v>
      </c>
      <c r="F139" s="65">
        <f t="shared" si="43"/>
        <v>2378.66</v>
      </c>
      <c r="G139" s="65">
        <v>308.67</v>
      </c>
      <c r="H139" s="65">
        <v>107.09</v>
      </c>
      <c r="I139" s="65">
        <v>10.42</v>
      </c>
      <c r="J139" s="65">
        <v>1920</v>
      </c>
      <c r="K139" s="65">
        <v>32.479999999999997</v>
      </c>
      <c r="L139" s="65">
        <v>0</v>
      </c>
      <c r="M139" s="65">
        <f t="shared" si="44"/>
        <v>0</v>
      </c>
      <c r="N139" s="65">
        <v>0</v>
      </c>
      <c r="O139" s="65">
        <v>0</v>
      </c>
      <c r="P139" s="65">
        <v>0</v>
      </c>
      <c r="Q139" s="65">
        <v>0</v>
      </c>
      <c r="R139" s="65">
        <v>0</v>
      </c>
      <c r="S139" s="65">
        <v>4</v>
      </c>
      <c r="T139" s="65">
        <f t="shared" si="45"/>
        <v>123.70000000000002</v>
      </c>
      <c r="U139" s="65">
        <v>90.140000000000015</v>
      </c>
      <c r="V139" s="65">
        <v>0</v>
      </c>
      <c r="W139" s="65">
        <v>27.46</v>
      </c>
      <c r="X139" s="65">
        <v>0</v>
      </c>
      <c r="Y139" s="65">
        <v>6.1</v>
      </c>
      <c r="Z139" s="65">
        <f t="shared" si="46"/>
        <v>16</v>
      </c>
      <c r="AA139" s="65">
        <f t="shared" si="47"/>
        <v>2502.3599999999997</v>
      </c>
      <c r="AB139" s="65">
        <f t="shared" si="48"/>
        <v>398.81000000000006</v>
      </c>
      <c r="AC139" s="65">
        <f t="shared" si="49"/>
        <v>107.09</v>
      </c>
      <c r="AD139" s="65">
        <f t="shared" si="50"/>
        <v>37.880000000000003</v>
      </c>
      <c r="AE139" s="65">
        <f t="shared" si="51"/>
        <v>1920</v>
      </c>
      <c r="AF139" s="65">
        <f t="shared" si="52"/>
        <v>38.58</v>
      </c>
      <c r="AG139" s="65">
        <f t="shared" si="53"/>
        <v>16</v>
      </c>
      <c r="AH139" s="65">
        <f t="shared" si="54"/>
        <v>2502.3599999999997</v>
      </c>
      <c r="AI139" s="65">
        <v>0</v>
      </c>
      <c r="AJ139" s="65">
        <v>0</v>
      </c>
      <c r="AK139" s="65">
        <v>0</v>
      </c>
      <c r="AL139" s="65">
        <v>0</v>
      </c>
      <c r="AM139" s="65"/>
      <c r="AN139" s="65">
        <f t="shared" si="41"/>
        <v>16</v>
      </c>
      <c r="AO139" s="65">
        <f t="shared" si="42"/>
        <v>2502.3599999999997</v>
      </c>
      <c r="AP139" s="65">
        <f t="shared" si="55"/>
        <v>156.39749999999998</v>
      </c>
    </row>
    <row r="140" spans="1:43" s="57" customFormat="1">
      <c r="A140" s="132" t="s">
        <v>309</v>
      </c>
      <c r="B140" s="161" t="s">
        <v>211</v>
      </c>
      <c r="C140" s="161" t="s">
        <v>335</v>
      </c>
      <c r="D140" s="159"/>
      <c r="E140" s="65">
        <v>0</v>
      </c>
      <c r="F140" s="65">
        <f t="shared" si="43"/>
        <v>0</v>
      </c>
      <c r="G140" s="65">
        <v>0</v>
      </c>
      <c r="H140" s="65">
        <v>0</v>
      </c>
      <c r="I140" s="65">
        <v>0</v>
      </c>
      <c r="J140" s="65">
        <v>0</v>
      </c>
      <c r="K140" s="65">
        <v>0</v>
      </c>
      <c r="L140" s="65">
        <v>0</v>
      </c>
      <c r="M140" s="65">
        <f t="shared" si="44"/>
        <v>0</v>
      </c>
      <c r="N140" s="65">
        <v>0</v>
      </c>
      <c r="O140" s="65">
        <v>0</v>
      </c>
      <c r="P140" s="65">
        <v>0</v>
      </c>
      <c r="Q140" s="65">
        <v>0</v>
      </c>
      <c r="R140" s="65">
        <v>0</v>
      </c>
      <c r="S140" s="65">
        <v>0</v>
      </c>
      <c r="T140" s="65">
        <f t="shared" si="45"/>
        <v>0</v>
      </c>
      <c r="U140" s="65">
        <v>0</v>
      </c>
      <c r="V140" s="65">
        <v>0</v>
      </c>
      <c r="W140" s="65">
        <v>0</v>
      </c>
      <c r="X140" s="65">
        <v>0</v>
      </c>
      <c r="Y140" s="65">
        <v>0</v>
      </c>
      <c r="Z140" s="65">
        <f t="shared" si="46"/>
        <v>0</v>
      </c>
      <c r="AA140" s="65">
        <f t="shared" si="47"/>
        <v>0</v>
      </c>
      <c r="AB140" s="65">
        <f t="shared" si="48"/>
        <v>0</v>
      </c>
      <c r="AC140" s="65">
        <f t="shared" si="49"/>
        <v>0</v>
      </c>
      <c r="AD140" s="65">
        <f t="shared" si="50"/>
        <v>0</v>
      </c>
      <c r="AE140" s="65">
        <f t="shared" si="51"/>
        <v>0</v>
      </c>
      <c r="AF140" s="65">
        <f t="shared" si="52"/>
        <v>0</v>
      </c>
      <c r="AG140" s="65">
        <f>Z140</f>
        <v>0</v>
      </c>
      <c r="AH140" s="65">
        <f t="shared" si="54"/>
        <v>0</v>
      </c>
      <c r="AI140" s="65">
        <v>0</v>
      </c>
      <c r="AJ140" s="65">
        <v>0</v>
      </c>
      <c r="AK140" s="65">
        <v>0</v>
      </c>
      <c r="AL140" s="65">
        <v>0</v>
      </c>
      <c r="AM140" s="65"/>
      <c r="AN140" s="65">
        <f t="shared" si="41"/>
        <v>0</v>
      </c>
      <c r="AO140" s="65">
        <f t="shared" si="42"/>
        <v>0</v>
      </c>
      <c r="AP140" s="65" t="e">
        <f t="shared" si="55"/>
        <v>#DIV/0!</v>
      </c>
    </row>
    <row r="141" spans="1:43" s="57" customFormat="1">
      <c r="A141" s="132" t="s">
        <v>365</v>
      </c>
      <c r="B141" s="161" t="s">
        <v>211</v>
      </c>
      <c r="C141" s="161" t="s">
        <v>335</v>
      </c>
      <c r="D141" s="159"/>
      <c r="E141" s="205">
        <v>2</v>
      </c>
      <c r="F141" s="65">
        <f t="shared" si="43"/>
        <v>54.25</v>
      </c>
      <c r="G141" s="65">
        <v>54.25</v>
      </c>
      <c r="H141" s="65">
        <v>0</v>
      </c>
      <c r="I141" s="65">
        <v>0</v>
      </c>
      <c r="J141" s="65">
        <v>0</v>
      </c>
      <c r="K141" s="65">
        <v>0</v>
      </c>
      <c r="L141" s="205">
        <v>0</v>
      </c>
      <c r="M141" s="65">
        <f t="shared" si="44"/>
        <v>0</v>
      </c>
      <c r="N141" s="65">
        <v>0</v>
      </c>
      <c r="O141" s="65">
        <v>0</v>
      </c>
      <c r="P141" s="65">
        <v>0</v>
      </c>
      <c r="Q141" s="65">
        <v>0</v>
      </c>
      <c r="R141" s="65">
        <v>0</v>
      </c>
      <c r="S141" s="205">
        <v>0</v>
      </c>
      <c r="T141" s="65">
        <f t="shared" si="45"/>
        <v>0</v>
      </c>
      <c r="U141" s="65">
        <v>0</v>
      </c>
      <c r="V141" s="65">
        <v>0</v>
      </c>
      <c r="W141" s="65">
        <v>0</v>
      </c>
      <c r="X141" s="65">
        <v>0</v>
      </c>
      <c r="Y141" s="65">
        <v>0</v>
      </c>
      <c r="Z141" s="65">
        <f t="shared" ref="Z141" si="56">E141+L141+S141</f>
        <v>2</v>
      </c>
      <c r="AA141" s="65">
        <f t="shared" ref="AA141" si="57">F141+M141+T141</f>
        <v>54.25</v>
      </c>
      <c r="AB141" s="65">
        <f t="shared" ref="AB141" si="58">G141+N141+U141</f>
        <v>54.25</v>
      </c>
      <c r="AC141" s="65">
        <f t="shared" ref="AC141" si="59">H141+O141+V141</f>
        <v>0</v>
      </c>
      <c r="AD141" s="65">
        <f t="shared" ref="AD141" si="60">I141+P141+W141</f>
        <v>0</v>
      </c>
      <c r="AE141" s="65">
        <f t="shared" ref="AE141" si="61">J141+Q141+X141</f>
        <v>0</v>
      </c>
      <c r="AF141" s="65">
        <f t="shared" ref="AF141" si="62">K141+R141+Y141</f>
        <v>0</v>
      </c>
      <c r="AG141" s="65">
        <f>Z141</f>
        <v>2</v>
      </c>
      <c r="AH141" s="65">
        <f t="shared" ref="AH141" si="63">AA141</f>
        <v>54.25</v>
      </c>
      <c r="AI141" s="65">
        <v>0</v>
      </c>
      <c r="AJ141" s="65">
        <v>0</v>
      </c>
      <c r="AK141" s="65">
        <v>0</v>
      </c>
      <c r="AL141" s="65">
        <v>0</v>
      </c>
      <c r="AM141" s="65"/>
      <c r="AN141" s="65">
        <f t="shared" ref="AN141" si="64">AG141+AI141+AK141</f>
        <v>2</v>
      </c>
      <c r="AO141" s="65">
        <f t="shared" ref="AO141" si="65">AH141+AJ141+AL141</f>
        <v>54.25</v>
      </c>
      <c r="AP141" s="65">
        <f t="shared" si="55"/>
        <v>27.125</v>
      </c>
    </row>
    <row r="142" spans="1:43" s="57" customFormat="1">
      <c r="A142" s="86" t="s">
        <v>132</v>
      </c>
      <c r="B142" s="158" t="s">
        <v>211</v>
      </c>
      <c r="C142" s="161" t="s">
        <v>337</v>
      </c>
      <c r="D142" s="159" t="s">
        <v>174</v>
      </c>
      <c r="E142" s="121">
        <v>39</v>
      </c>
      <c r="F142" s="65">
        <f t="shared" si="43"/>
        <v>3557.6</v>
      </c>
      <c r="G142" s="65">
        <v>1291.54</v>
      </c>
      <c r="H142" s="65">
        <v>174.8</v>
      </c>
      <c r="I142" s="65">
        <v>374.99</v>
      </c>
      <c r="J142" s="65">
        <v>0</v>
      </c>
      <c r="K142" s="65">
        <v>1716.27</v>
      </c>
      <c r="L142" s="121">
        <v>1</v>
      </c>
      <c r="M142" s="65">
        <f t="shared" si="44"/>
        <v>12551.51</v>
      </c>
      <c r="N142" s="65">
        <v>1065.3800000000001</v>
      </c>
      <c r="O142" s="65">
        <v>0</v>
      </c>
      <c r="P142" s="65">
        <v>3.59</v>
      </c>
      <c r="Q142" s="65">
        <v>11386.2</v>
      </c>
      <c r="R142" s="65">
        <v>96.34</v>
      </c>
      <c r="S142" s="128">
        <v>13</v>
      </c>
      <c r="T142" s="65">
        <f t="shared" si="45"/>
        <v>11991.239999999998</v>
      </c>
      <c r="U142" s="65">
        <v>5532.44</v>
      </c>
      <c r="V142" s="65">
        <v>1275.29</v>
      </c>
      <c r="W142" s="65">
        <v>4010.8</v>
      </c>
      <c r="X142" s="65">
        <v>0</v>
      </c>
      <c r="Y142" s="65">
        <v>1172.71</v>
      </c>
      <c r="Z142" s="65">
        <f t="shared" si="46"/>
        <v>53</v>
      </c>
      <c r="AA142" s="65">
        <f t="shared" si="47"/>
        <v>28100.35</v>
      </c>
      <c r="AB142" s="65">
        <f t="shared" si="48"/>
        <v>7889.36</v>
      </c>
      <c r="AC142" s="65">
        <f t="shared" si="49"/>
        <v>1450.09</v>
      </c>
      <c r="AD142" s="65">
        <f t="shared" si="50"/>
        <v>4389.38</v>
      </c>
      <c r="AE142" s="65">
        <f t="shared" si="51"/>
        <v>11386.2</v>
      </c>
      <c r="AF142" s="65">
        <f t="shared" si="52"/>
        <v>2985.3199999999997</v>
      </c>
      <c r="AG142" s="65">
        <f t="shared" si="53"/>
        <v>53</v>
      </c>
      <c r="AH142" s="65">
        <f t="shared" si="54"/>
        <v>28100.35</v>
      </c>
      <c r="AI142" s="65">
        <v>0</v>
      </c>
      <c r="AJ142" s="65">
        <v>0</v>
      </c>
      <c r="AK142" s="65">
        <v>0</v>
      </c>
      <c r="AL142" s="65">
        <v>0</v>
      </c>
      <c r="AM142" s="65"/>
      <c r="AN142" s="65">
        <f t="shared" si="41"/>
        <v>53</v>
      </c>
      <c r="AO142" s="65">
        <f t="shared" si="42"/>
        <v>28100.35</v>
      </c>
      <c r="AP142" s="65">
        <f t="shared" si="55"/>
        <v>530.19528301886794</v>
      </c>
    </row>
    <row r="143" spans="1:43" s="57" customFormat="1">
      <c r="A143" s="132" t="s">
        <v>310</v>
      </c>
      <c r="B143" s="161" t="s">
        <v>211</v>
      </c>
      <c r="C143" s="161" t="s">
        <v>335</v>
      </c>
      <c r="D143" s="159"/>
      <c r="E143" s="121">
        <v>26</v>
      </c>
      <c r="F143" s="65">
        <f t="shared" si="43"/>
        <v>4815.59</v>
      </c>
      <c r="G143" s="65">
        <v>1685.5700000000002</v>
      </c>
      <c r="H143" s="65">
        <v>0</v>
      </c>
      <c r="I143" s="65">
        <v>32.269999999999996</v>
      </c>
      <c r="J143" s="65">
        <v>3088.95</v>
      </c>
      <c r="K143" s="65">
        <v>8.8000000000000007</v>
      </c>
      <c r="L143" s="121">
        <v>0</v>
      </c>
      <c r="M143" s="65">
        <f t="shared" si="44"/>
        <v>0</v>
      </c>
      <c r="N143" s="65">
        <v>0</v>
      </c>
      <c r="O143" s="65">
        <v>0</v>
      </c>
      <c r="P143" s="65">
        <v>0</v>
      </c>
      <c r="Q143" s="65">
        <v>0</v>
      </c>
      <c r="R143" s="65">
        <v>0</v>
      </c>
      <c r="S143" s="128">
        <v>0</v>
      </c>
      <c r="T143" s="65">
        <f t="shared" si="45"/>
        <v>0</v>
      </c>
      <c r="U143" s="65">
        <v>0</v>
      </c>
      <c r="V143" s="65">
        <v>0</v>
      </c>
      <c r="W143" s="65">
        <v>0</v>
      </c>
      <c r="X143" s="65">
        <v>0</v>
      </c>
      <c r="Y143" s="65">
        <v>0</v>
      </c>
      <c r="Z143" s="65">
        <f t="shared" si="46"/>
        <v>26</v>
      </c>
      <c r="AA143" s="65">
        <f t="shared" si="47"/>
        <v>4815.59</v>
      </c>
      <c r="AB143" s="65">
        <f t="shared" si="48"/>
        <v>1685.5700000000002</v>
      </c>
      <c r="AC143" s="65">
        <f t="shared" si="49"/>
        <v>0</v>
      </c>
      <c r="AD143" s="65">
        <f t="shared" si="50"/>
        <v>32.269999999999996</v>
      </c>
      <c r="AE143" s="65">
        <f t="shared" si="51"/>
        <v>3088.95</v>
      </c>
      <c r="AF143" s="65">
        <f t="shared" si="52"/>
        <v>8.8000000000000007</v>
      </c>
      <c r="AG143" s="65">
        <f t="shared" si="53"/>
        <v>26</v>
      </c>
      <c r="AH143" s="65">
        <f t="shared" si="54"/>
        <v>4815.59</v>
      </c>
      <c r="AI143" s="65">
        <v>0</v>
      </c>
      <c r="AJ143" s="65">
        <v>0</v>
      </c>
      <c r="AK143" s="65">
        <v>0</v>
      </c>
      <c r="AL143" s="65">
        <v>0</v>
      </c>
      <c r="AM143" s="65"/>
      <c r="AN143" s="65">
        <f t="shared" si="41"/>
        <v>26</v>
      </c>
      <c r="AO143" s="65">
        <f t="shared" si="42"/>
        <v>4815.59</v>
      </c>
      <c r="AP143" s="65">
        <f t="shared" si="55"/>
        <v>185.215</v>
      </c>
    </row>
    <row r="144" spans="1:43" s="57" customFormat="1">
      <c r="A144" s="86" t="s">
        <v>131</v>
      </c>
      <c r="B144" s="158" t="s">
        <v>210</v>
      </c>
      <c r="C144" s="161" t="s">
        <v>336</v>
      </c>
      <c r="D144" s="160"/>
      <c r="E144" s="65">
        <v>5</v>
      </c>
      <c r="F144" s="65">
        <f t="shared" si="43"/>
        <v>206.34</v>
      </c>
      <c r="G144" s="65">
        <v>206.34</v>
      </c>
      <c r="H144" s="65">
        <v>0</v>
      </c>
      <c r="I144" s="65">
        <v>0</v>
      </c>
      <c r="J144" s="65">
        <v>0</v>
      </c>
      <c r="K144" s="65">
        <v>0</v>
      </c>
      <c r="L144" s="65">
        <v>0</v>
      </c>
      <c r="M144" s="65">
        <f t="shared" si="44"/>
        <v>0</v>
      </c>
      <c r="N144" s="65">
        <v>0</v>
      </c>
      <c r="O144" s="65">
        <v>0</v>
      </c>
      <c r="P144" s="65">
        <v>0</v>
      </c>
      <c r="Q144" s="65">
        <v>0</v>
      </c>
      <c r="R144" s="65">
        <v>0</v>
      </c>
      <c r="S144" s="65">
        <v>1</v>
      </c>
      <c r="T144" s="65">
        <f t="shared" si="45"/>
        <v>19.060000000000002</v>
      </c>
      <c r="U144" s="65">
        <v>16.100000000000001</v>
      </c>
      <c r="V144" s="65">
        <v>0</v>
      </c>
      <c r="W144" s="65">
        <v>2.96</v>
      </c>
      <c r="X144" s="65">
        <v>0</v>
      </c>
      <c r="Y144" s="65">
        <v>0</v>
      </c>
      <c r="Z144" s="65">
        <f t="shared" si="46"/>
        <v>6</v>
      </c>
      <c r="AA144" s="65">
        <f t="shared" si="47"/>
        <v>225.4</v>
      </c>
      <c r="AB144" s="65">
        <f t="shared" si="48"/>
        <v>222.44</v>
      </c>
      <c r="AC144" s="65">
        <f t="shared" si="49"/>
        <v>0</v>
      </c>
      <c r="AD144" s="65">
        <f t="shared" si="50"/>
        <v>2.96</v>
      </c>
      <c r="AE144" s="65">
        <f t="shared" si="51"/>
        <v>0</v>
      </c>
      <c r="AF144" s="65">
        <f t="shared" si="52"/>
        <v>0</v>
      </c>
      <c r="AG144" s="65">
        <f t="shared" si="53"/>
        <v>6</v>
      </c>
      <c r="AH144" s="65">
        <f t="shared" si="54"/>
        <v>225.4</v>
      </c>
      <c r="AI144" s="65">
        <v>0</v>
      </c>
      <c r="AJ144" s="65">
        <v>0</v>
      </c>
      <c r="AK144" s="65">
        <v>0</v>
      </c>
      <c r="AL144" s="65">
        <v>0</v>
      </c>
      <c r="AM144" s="65"/>
      <c r="AN144" s="65">
        <f t="shared" si="41"/>
        <v>6</v>
      </c>
      <c r="AO144" s="65">
        <f t="shared" si="42"/>
        <v>225.4</v>
      </c>
      <c r="AP144" s="65">
        <f t="shared" si="55"/>
        <v>37.56666666666667</v>
      </c>
    </row>
    <row r="145" spans="1:43" s="57" customFormat="1">
      <c r="A145" s="132" t="s">
        <v>311</v>
      </c>
      <c r="B145" s="161" t="s">
        <v>211</v>
      </c>
      <c r="C145" s="161" t="s">
        <v>335</v>
      </c>
      <c r="D145" s="160"/>
      <c r="E145" s="65">
        <v>5</v>
      </c>
      <c r="F145" s="65">
        <f t="shared" si="43"/>
        <v>326.86</v>
      </c>
      <c r="G145" s="65">
        <v>120.52000000000001</v>
      </c>
      <c r="H145" s="65">
        <v>0</v>
      </c>
      <c r="I145" s="65">
        <v>11.45</v>
      </c>
      <c r="J145" s="65">
        <v>194.89</v>
      </c>
      <c r="K145" s="65">
        <v>0</v>
      </c>
      <c r="L145" s="65">
        <v>0</v>
      </c>
      <c r="M145" s="65">
        <f t="shared" si="44"/>
        <v>0</v>
      </c>
      <c r="N145" s="65">
        <v>0</v>
      </c>
      <c r="O145" s="65">
        <v>0</v>
      </c>
      <c r="P145" s="65">
        <v>0</v>
      </c>
      <c r="Q145" s="65">
        <v>0</v>
      </c>
      <c r="R145" s="65">
        <v>0</v>
      </c>
      <c r="S145" s="65">
        <v>0</v>
      </c>
      <c r="T145" s="65">
        <f t="shared" si="45"/>
        <v>0</v>
      </c>
      <c r="U145" s="65">
        <v>0</v>
      </c>
      <c r="V145" s="65">
        <v>0</v>
      </c>
      <c r="W145" s="65">
        <v>0</v>
      </c>
      <c r="X145" s="65">
        <v>0</v>
      </c>
      <c r="Y145" s="65">
        <v>0</v>
      </c>
      <c r="Z145" s="65">
        <f t="shared" si="46"/>
        <v>5</v>
      </c>
      <c r="AA145" s="65">
        <f t="shared" si="47"/>
        <v>326.86</v>
      </c>
      <c r="AB145" s="65">
        <f t="shared" si="48"/>
        <v>120.52000000000001</v>
      </c>
      <c r="AC145" s="65">
        <f t="shared" si="49"/>
        <v>0</v>
      </c>
      <c r="AD145" s="65">
        <f t="shared" si="50"/>
        <v>11.45</v>
      </c>
      <c r="AE145" s="65">
        <f t="shared" si="51"/>
        <v>194.89</v>
      </c>
      <c r="AF145" s="65">
        <f t="shared" si="52"/>
        <v>0</v>
      </c>
      <c r="AG145" s="65">
        <f t="shared" si="53"/>
        <v>5</v>
      </c>
      <c r="AH145" s="65">
        <f t="shared" si="54"/>
        <v>326.86</v>
      </c>
      <c r="AI145" s="65">
        <v>0</v>
      </c>
      <c r="AJ145" s="65">
        <v>0</v>
      </c>
      <c r="AK145" s="65">
        <v>0</v>
      </c>
      <c r="AL145" s="65">
        <v>0</v>
      </c>
      <c r="AM145" s="65"/>
      <c r="AN145" s="65">
        <f t="shared" si="41"/>
        <v>5</v>
      </c>
      <c r="AO145" s="65">
        <f t="shared" si="42"/>
        <v>326.86</v>
      </c>
      <c r="AP145" s="65">
        <f t="shared" si="55"/>
        <v>65.372</v>
      </c>
    </row>
    <row r="146" spans="1:43" s="57" customFormat="1">
      <c r="A146" s="132" t="s">
        <v>312</v>
      </c>
      <c r="B146" s="161" t="s">
        <v>213</v>
      </c>
      <c r="C146" s="161" t="s">
        <v>335</v>
      </c>
      <c r="D146" s="160"/>
      <c r="E146" s="65">
        <v>0</v>
      </c>
      <c r="F146" s="65">
        <f t="shared" si="43"/>
        <v>0</v>
      </c>
      <c r="G146" s="65">
        <v>0</v>
      </c>
      <c r="H146" s="65">
        <v>0</v>
      </c>
      <c r="I146" s="65">
        <v>0</v>
      </c>
      <c r="J146" s="65">
        <v>0</v>
      </c>
      <c r="K146" s="65">
        <v>0</v>
      </c>
      <c r="L146" s="65">
        <v>0</v>
      </c>
      <c r="M146" s="65">
        <f t="shared" si="44"/>
        <v>0</v>
      </c>
      <c r="N146" s="65">
        <v>0</v>
      </c>
      <c r="O146" s="65">
        <v>0</v>
      </c>
      <c r="P146" s="65">
        <v>0</v>
      </c>
      <c r="Q146" s="65">
        <v>0</v>
      </c>
      <c r="R146" s="65">
        <v>0</v>
      </c>
      <c r="S146" s="65">
        <v>0</v>
      </c>
      <c r="T146" s="65">
        <f t="shared" si="45"/>
        <v>0</v>
      </c>
      <c r="U146" s="65">
        <v>0</v>
      </c>
      <c r="V146" s="65">
        <v>0</v>
      </c>
      <c r="W146" s="65">
        <v>0</v>
      </c>
      <c r="X146" s="65">
        <v>0</v>
      </c>
      <c r="Y146" s="65">
        <v>0</v>
      </c>
      <c r="Z146" s="65">
        <f t="shared" si="46"/>
        <v>0</v>
      </c>
      <c r="AA146" s="65">
        <f t="shared" si="47"/>
        <v>0</v>
      </c>
      <c r="AB146" s="65">
        <f t="shared" si="48"/>
        <v>0</v>
      </c>
      <c r="AC146" s="65">
        <f t="shared" si="49"/>
        <v>0</v>
      </c>
      <c r="AD146" s="65">
        <f t="shared" si="50"/>
        <v>0</v>
      </c>
      <c r="AE146" s="65">
        <f t="shared" si="51"/>
        <v>0</v>
      </c>
      <c r="AF146" s="65">
        <f t="shared" si="52"/>
        <v>0</v>
      </c>
      <c r="AG146" s="65">
        <f t="shared" si="53"/>
        <v>0</v>
      </c>
      <c r="AH146" s="65">
        <f t="shared" si="54"/>
        <v>0</v>
      </c>
      <c r="AI146" s="65">
        <v>0</v>
      </c>
      <c r="AJ146" s="65">
        <v>0</v>
      </c>
      <c r="AK146" s="65">
        <v>0</v>
      </c>
      <c r="AL146" s="65">
        <v>0</v>
      </c>
      <c r="AM146" s="65"/>
      <c r="AN146" s="65">
        <f t="shared" si="41"/>
        <v>0</v>
      </c>
      <c r="AO146" s="65">
        <f t="shared" si="42"/>
        <v>0</v>
      </c>
      <c r="AP146" s="65" t="e">
        <f t="shared" si="55"/>
        <v>#DIV/0!</v>
      </c>
    </row>
    <row r="147" spans="1:43" s="57" customFormat="1">
      <c r="A147" s="132" t="s">
        <v>313</v>
      </c>
      <c r="B147" s="161" t="s">
        <v>213</v>
      </c>
      <c r="C147" s="161" t="s">
        <v>335</v>
      </c>
      <c r="D147" s="160"/>
      <c r="E147" s="65">
        <v>0</v>
      </c>
      <c r="F147" s="65">
        <f t="shared" si="43"/>
        <v>0</v>
      </c>
      <c r="G147" s="65">
        <v>0</v>
      </c>
      <c r="H147" s="65">
        <v>0</v>
      </c>
      <c r="I147" s="65">
        <v>0</v>
      </c>
      <c r="J147" s="65">
        <v>0</v>
      </c>
      <c r="K147" s="65">
        <v>0</v>
      </c>
      <c r="L147" s="65">
        <v>0</v>
      </c>
      <c r="M147" s="65">
        <f t="shared" si="44"/>
        <v>0</v>
      </c>
      <c r="N147" s="65">
        <v>0</v>
      </c>
      <c r="O147" s="65">
        <v>0</v>
      </c>
      <c r="P147" s="65">
        <v>0</v>
      </c>
      <c r="Q147" s="65">
        <v>0</v>
      </c>
      <c r="R147" s="65">
        <v>0</v>
      </c>
      <c r="S147" s="65">
        <v>0</v>
      </c>
      <c r="T147" s="65">
        <f t="shared" si="45"/>
        <v>0</v>
      </c>
      <c r="U147" s="65">
        <v>0</v>
      </c>
      <c r="V147" s="65">
        <v>0</v>
      </c>
      <c r="W147" s="65">
        <v>0</v>
      </c>
      <c r="X147" s="65">
        <v>0</v>
      </c>
      <c r="Y147" s="65">
        <v>0</v>
      </c>
      <c r="Z147" s="65">
        <f t="shared" si="46"/>
        <v>0</v>
      </c>
      <c r="AA147" s="65">
        <f t="shared" si="47"/>
        <v>0</v>
      </c>
      <c r="AB147" s="65">
        <f t="shared" si="48"/>
        <v>0</v>
      </c>
      <c r="AC147" s="65">
        <f t="shared" si="49"/>
        <v>0</v>
      </c>
      <c r="AD147" s="65">
        <f t="shared" si="50"/>
        <v>0</v>
      </c>
      <c r="AE147" s="65">
        <f t="shared" si="51"/>
        <v>0</v>
      </c>
      <c r="AF147" s="65">
        <f t="shared" si="52"/>
        <v>0</v>
      </c>
      <c r="AG147" s="65">
        <f t="shared" si="53"/>
        <v>0</v>
      </c>
      <c r="AH147" s="65">
        <f t="shared" si="54"/>
        <v>0</v>
      </c>
      <c r="AI147" s="65">
        <v>0</v>
      </c>
      <c r="AJ147" s="65">
        <v>0</v>
      </c>
      <c r="AK147" s="65">
        <v>0</v>
      </c>
      <c r="AL147" s="65">
        <v>0</v>
      </c>
      <c r="AM147" s="65"/>
      <c r="AN147" s="65">
        <f t="shared" si="41"/>
        <v>0</v>
      </c>
      <c r="AO147" s="65">
        <f t="shared" si="42"/>
        <v>0</v>
      </c>
      <c r="AP147" s="65" t="e">
        <f t="shared" si="55"/>
        <v>#DIV/0!</v>
      </c>
    </row>
    <row r="148" spans="1:43" s="57" customFormat="1">
      <c r="A148" s="86" t="s">
        <v>238</v>
      </c>
      <c r="B148" s="158" t="s">
        <v>209</v>
      </c>
      <c r="C148" s="161" t="s">
        <v>335</v>
      </c>
      <c r="D148" s="159"/>
      <c r="E148" s="65">
        <v>2</v>
      </c>
      <c r="F148" s="65">
        <f t="shared" si="43"/>
        <v>53.73</v>
      </c>
      <c r="G148" s="65">
        <v>48.94</v>
      </c>
      <c r="H148" s="65">
        <v>0</v>
      </c>
      <c r="I148" s="65">
        <v>4.79</v>
      </c>
      <c r="J148" s="65">
        <v>0</v>
      </c>
      <c r="K148" s="65">
        <v>0</v>
      </c>
      <c r="L148" s="65">
        <v>0</v>
      </c>
      <c r="M148" s="65">
        <f t="shared" si="44"/>
        <v>0</v>
      </c>
      <c r="N148" s="65">
        <v>0</v>
      </c>
      <c r="O148" s="65">
        <v>0</v>
      </c>
      <c r="P148" s="65">
        <v>0</v>
      </c>
      <c r="Q148" s="65">
        <v>0</v>
      </c>
      <c r="R148" s="65">
        <v>0</v>
      </c>
      <c r="S148" s="65">
        <v>0</v>
      </c>
      <c r="T148" s="65">
        <f t="shared" si="45"/>
        <v>0</v>
      </c>
      <c r="U148" s="65">
        <v>0</v>
      </c>
      <c r="V148" s="65">
        <v>0</v>
      </c>
      <c r="W148" s="65">
        <v>0</v>
      </c>
      <c r="X148" s="65">
        <v>0</v>
      </c>
      <c r="Y148" s="65">
        <v>0</v>
      </c>
      <c r="Z148" s="65">
        <f t="shared" si="46"/>
        <v>2</v>
      </c>
      <c r="AA148" s="65">
        <f t="shared" si="47"/>
        <v>53.73</v>
      </c>
      <c r="AB148" s="65">
        <f t="shared" si="48"/>
        <v>48.94</v>
      </c>
      <c r="AC148" s="65">
        <f t="shared" si="49"/>
        <v>0</v>
      </c>
      <c r="AD148" s="65">
        <f t="shared" si="50"/>
        <v>4.79</v>
      </c>
      <c r="AE148" s="65">
        <f t="shared" si="51"/>
        <v>0</v>
      </c>
      <c r="AF148" s="65">
        <f t="shared" si="52"/>
        <v>0</v>
      </c>
      <c r="AG148" s="65">
        <f t="shared" si="53"/>
        <v>2</v>
      </c>
      <c r="AH148" s="65">
        <f t="shared" si="54"/>
        <v>53.73</v>
      </c>
      <c r="AI148" s="65">
        <v>0</v>
      </c>
      <c r="AJ148" s="65">
        <v>0</v>
      </c>
      <c r="AK148" s="65">
        <v>0</v>
      </c>
      <c r="AL148" s="65">
        <v>0</v>
      </c>
      <c r="AM148" s="65"/>
      <c r="AN148" s="65">
        <f t="shared" si="41"/>
        <v>2</v>
      </c>
      <c r="AO148" s="65">
        <f t="shared" si="42"/>
        <v>53.73</v>
      </c>
      <c r="AP148" s="65">
        <f t="shared" si="55"/>
        <v>26.864999999999998</v>
      </c>
    </row>
    <row r="149" spans="1:43" s="57" customFormat="1">
      <c r="A149" s="86" t="s">
        <v>133</v>
      </c>
      <c r="B149" s="158" t="s">
        <v>209</v>
      </c>
      <c r="C149" s="161" t="s">
        <v>336</v>
      </c>
      <c r="D149" s="159" t="s">
        <v>174</v>
      </c>
      <c r="E149" s="121">
        <v>2182</v>
      </c>
      <c r="F149" s="65">
        <f t="shared" si="43"/>
        <v>266742.82999999996</v>
      </c>
      <c r="G149" s="65">
        <v>69420.58</v>
      </c>
      <c r="H149" s="65">
        <v>1802.2</v>
      </c>
      <c r="I149" s="65">
        <v>5258.5300000000007</v>
      </c>
      <c r="J149" s="65">
        <v>186642.74999999997</v>
      </c>
      <c r="K149" s="65">
        <v>3618.7700000000004</v>
      </c>
      <c r="L149" s="121">
        <v>47</v>
      </c>
      <c r="M149" s="65">
        <f t="shared" si="44"/>
        <v>217739.28</v>
      </c>
      <c r="N149" s="65">
        <v>0</v>
      </c>
      <c r="O149" s="65">
        <v>0</v>
      </c>
      <c r="P149" s="65">
        <v>0</v>
      </c>
      <c r="Q149" s="65">
        <v>217739.28</v>
      </c>
      <c r="R149" s="65">
        <v>0</v>
      </c>
      <c r="S149" s="128">
        <v>649</v>
      </c>
      <c r="T149" s="65">
        <f t="shared" si="45"/>
        <v>139747.59</v>
      </c>
      <c r="U149" s="65">
        <v>41098.65</v>
      </c>
      <c r="V149" s="65">
        <v>6625.65</v>
      </c>
      <c r="W149" s="65">
        <v>29169.759999999998</v>
      </c>
      <c r="X149" s="65">
        <v>34300.93</v>
      </c>
      <c r="Y149" s="65">
        <v>28552.600000000002</v>
      </c>
      <c r="Z149" s="65">
        <f t="shared" si="46"/>
        <v>2878</v>
      </c>
      <c r="AA149" s="65">
        <f t="shared" si="47"/>
        <v>624229.69999999995</v>
      </c>
      <c r="AB149" s="65">
        <f t="shared" si="48"/>
        <v>110519.23000000001</v>
      </c>
      <c r="AC149" s="65">
        <f t="shared" si="49"/>
        <v>8427.85</v>
      </c>
      <c r="AD149" s="65">
        <f t="shared" si="50"/>
        <v>34428.29</v>
      </c>
      <c r="AE149" s="65">
        <f t="shared" si="51"/>
        <v>438682.95999999996</v>
      </c>
      <c r="AF149" s="65">
        <f t="shared" si="52"/>
        <v>32171.370000000003</v>
      </c>
      <c r="AG149" s="65">
        <f t="shared" si="53"/>
        <v>2878</v>
      </c>
      <c r="AH149" s="65">
        <f t="shared" si="54"/>
        <v>624229.69999999995</v>
      </c>
      <c r="AI149" s="65">
        <v>0</v>
      </c>
      <c r="AJ149" s="65">
        <v>0</v>
      </c>
      <c r="AK149" s="65">
        <v>0</v>
      </c>
      <c r="AL149" s="65">
        <v>0</v>
      </c>
      <c r="AM149" s="65"/>
      <c r="AN149" s="65">
        <f t="shared" si="41"/>
        <v>2878</v>
      </c>
      <c r="AO149" s="65">
        <f t="shared" si="42"/>
        <v>624229.69999999995</v>
      </c>
      <c r="AP149" s="65">
        <f t="shared" si="55"/>
        <v>216.89704656011116</v>
      </c>
    </row>
    <row r="150" spans="1:43" s="57" customFormat="1">
      <c r="A150" s="86" t="s">
        <v>37</v>
      </c>
      <c r="B150" s="158" t="s">
        <v>210</v>
      </c>
      <c r="C150" s="161" t="s">
        <v>336</v>
      </c>
      <c r="D150" s="159" t="s">
        <v>174</v>
      </c>
      <c r="E150" s="121">
        <v>470</v>
      </c>
      <c r="F150" s="65">
        <f t="shared" si="43"/>
        <v>104649.62999999999</v>
      </c>
      <c r="G150" s="65">
        <v>13545.29</v>
      </c>
      <c r="H150" s="65">
        <v>366.88</v>
      </c>
      <c r="I150" s="65">
        <v>458.55</v>
      </c>
      <c r="J150" s="65">
        <v>89437.62</v>
      </c>
      <c r="K150" s="65">
        <v>841.29000000000008</v>
      </c>
      <c r="L150" s="121">
        <v>7</v>
      </c>
      <c r="M150" s="65">
        <f t="shared" si="44"/>
        <v>9365.07</v>
      </c>
      <c r="N150" s="65">
        <v>0</v>
      </c>
      <c r="O150" s="65">
        <v>0</v>
      </c>
      <c r="P150" s="65">
        <v>0</v>
      </c>
      <c r="Q150" s="65">
        <v>9365.07</v>
      </c>
      <c r="R150" s="65">
        <v>0</v>
      </c>
      <c r="S150" s="128">
        <v>34</v>
      </c>
      <c r="T150" s="65">
        <f t="shared" si="45"/>
        <v>4924.38</v>
      </c>
      <c r="U150" s="65">
        <v>1471.96</v>
      </c>
      <c r="V150" s="65">
        <v>419.6</v>
      </c>
      <c r="W150" s="65">
        <v>273.17</v>
      </c>
      <c r="X150" s="65">
        <v>1744.74</v>
      </c>
      <c r="Y150" s="65">
        <v>1014.91</v>
      </c>
      <c r="Z150" s="65">
        <f t="shared" si="46"/>
        <v>511</v>
      </c>
      <c r="AA150" s="65">
        <f t="shared" si="47"/>
        <v>118939.07999999999</v>
      </c>
      <c r="AB150" s="65">
        <f t="shared" si="48"/>
        <v>15017.25</v>
      </c>
      <c r="AC150" s="65">
        <f t="shared" si="49"/>
        <v>786.48</v>
      </c>
      <c r="AD150" s="65">
        <f t="shared" si="50"/>
        <v>731.72</v>
      </c>
      <c r="AE150" s="65">
        <f t="shared" si="51"/>
        <v>100547.43000000001</v>
      </c>
      <c r="AF150" s="65">
        <f t="shared" si="52"/>
        <v>1856.2</v>
      </c>
      <c r="AG150" s="65">
        <f t="shared" si="53"/>
        <v>511</v>
      </c>
      <c r="AH150" s="65">
        <f t="shared" si="54"/>
        <v>118939.07999999999</v>
      </c>
      <c r="AI150" s="65">
        <v>5258</v>
      </c>
      <c r="AJ150" s="65">
        <v>982901.34227977716</v>
      </c>
      <c r="AK150" s="65">
        <v>0</v>
      </c>
      <c r="AL150" s="65">
        <v>0</v>
      </c>
      <c r="AM150" s="65">
        <v>49145.067108528609</v>
      </c>
      <c r="AN150" s="65">
        <f t="shared" si="41"/>
        <v>5769</v>
      </c>
      <c r="AO150" s="65">
        <f t="shared" si="42"/>
        <v>1101840.4222797772</v>
      </c>
      <c r="AP150" s="65">
        <f t="shared" si="55"/>
        <v>190.99331292767849</v>
      </c>
      <c r="AQ150" s="232"/>
    </row>
    <row r="151" spans="1:43" s="57" customFormat="1">
      <c r="A151" s="86" t="s">
        <v>134</v>
      </c>
      <c r="B151" s="158" t="s">
        <v>209</v>
      </c>
      <c r="C151" s="161" t="s">
        <v>335</v>
      </c>
      <c r="D151" s="159"/>
      <c r="E151" s="65">
        <v>115</v>
      </c>
      <c r="F151" s="65">
        <f t="shared" si="43"/>
        <v>12382.460000000001</v>
      </c>
      <c r="G151" s="65">
        <v>3432.21</v>
      </c>
      <c r="H151" s="65">
        <v>0</v>
      </c>
      <c r="I151" s="65">
        <v>64.52000000000001</v>
      </c>
      <c r="J151" s="65">
        <v>7869.87</v>
      </c>
      <c r="K151" s="65">
        <v>1015.8600000000001</v>
      </c>
      <c r="L151" s="65">
        <v>2</v>
      </c>
      <c r="M151" s="65">
        <f t="shared" si="44"/>
        <v>2689.2</v>
      </c>
      <c r="N151" s="65">
        <v>0</v>
      </c>
      <c r="O151" s="65">
        <v>0</v>
      </c>
      <c r="P151" s="65">
        <v>0</v>
      </c>
      <c r="Q151" s="65">
        <v>2689.2</v>
      </c>
      <c r="R151" s="65">
        <v>0</v>
      </c>
      <c r="S151" s="65">
        <v>12</v>
      </c>
      <c r="T151" s="65">
        <f t="shared" si="45"/>
        <v>940.02</v>
      </c>
      <c r="U151" s="65">
        <v>431.87</v>
      </c>
      <c r="V151" s="65">
        <v>219.01</v>
      </c>
      <c r="W151" s="65">
        <v>48.58</v>
      </c>
      <c r="X151" s="65">
        <v>0</v>
      </c>
      <c r="Y151" s="65">
        <v>240.56</v>
      </c>
      <c r="Z151" s="65">
        <f t="shared" si="46"/>
        <v>129</v>
      </c>
      <c r="AA151" s="65">
        <f t="shared" si="47"/>
        <v>16011.68</v>
      </c>
      <c r="AB151" s="65">
        <f t="shared" si="48"/>
        <v>3864.08</v>
      </c>
      <c r="AC151" s="65">
        <f t="shared" si="49"/>
        <v>219.01</v>
      </c>
      <c r="AD151" s="65">
        <f t="shared" si="50"/>
        <v>113.10000000000001</v>
      </c>
      <c r="AE151" s="65">
        <f t="shared" si="51"/>
        <v>10559.07</v>
      </c>
      <c r="AF151" s="65">
        <f t="shared" si="52"/>
        <v>1256.42</v>
      </c>
      <c r="AG151" s="65">
        <f t="shared" si="53"/>
        <v>129</v>
      </c>
      <c r="AH151" s="65">
        <f t="shared" si="54"/>
        <v>16011.68</v>
      </c>
      <c r="AI151" s="65">
        <v>0</v>
      </c>
      <c r="AJ151" s="65">
        <v>0</v>
      </c>
      <c r="AK151" s="65">
        <v>0</v>
      </c>
      <c r="AL151" s="65">
        <v>0</v>
      </c>
      <c r="AM151" s="65"/>
      <c r="AN151" s="65">
        <f t="shared" si="41"/>
        <v>129</v>
      </c>
      <c r="AO151" s="65">
        <f t="shared" si="42"/>
        <v>16011.68</v>
      </c>
      <c r="AP151" s="65">
        <f t="shared" si="55"/>
        <v>124.1215503875969</v>
      </c>
    </row>
    <row r="152" spans="1:43" s="57" customFormat="1">
      <c r="A152" s="86" t="s">
        <v>239</v>
      </c>
      <c r="B152" s="158" t="s">
        <v>209</v>
      </c>
      <c r="C152" s="161" t="s">
        <v>335</v>
      </c>
      <c r="D152" s="159"/>
      <c r="E152" s="65">
        <v>2</v>
      </c>
      <c r="F152" s="65">
        <f t="shared" si="43"/>
        <v>1425.3100000000002</v>
      </c>
      <c r="G152" s="65">
        <v>32.68</v>
      </c>
      <c r="H152" s="65">
        <v>0</v>
      </c>
      <c r="I152" s="65">
        <v>0</v>
      </c>
      <c r="J152" s="65">
        <v>1392.63</v>
      </c>
      <c r="K152" s="65">
        <v>0</v>
      </c>
      <c r="L152" s="65">
        <v>0</v>
      </c>
      <c r="M152" s="65">
        <f t="shared" si="44"/>
        <v>0</v>
      </c>
      <c r="N152" s="65">
        <v>0</v>
      </c>
      <c r="O152" s="65">
        <v>0</v>
      </c>
      <c r="P152" s="65">
        <v>0</v>
      </c>
      <c r="Q152" s="65">
        <v>0</v>
      </c>
      <c r="R152" s="65">
        <v>0</v>
      </c>
      <c r="S152" s="65">
        <v>2</v>
      </c>
      <c r="T152" s="65">
        <f t="shared" si="45"/>
        <v>23.86</v>
      </c>
      <c r="U152" s="65">
        <v>0</v>
      </c>
      <c r="V152" s="65">
        <v>16.100000000000001</v>
      </c>
      <c r="W152" s="65">
        <v>7.76</v>
      </c>
      <c r="X152" s="65">
        <v>0</v>
      </c>
      <c r="Y152" s="65">
        <v>0</v>
      </c>
      <c r="Z152" s="65">
        <f t="shared" si="46"/>
        <v>4</v>
      </c>
      <c r="AA152" s="65">
        <f t="shared" si="47"/>
        <v>1449.17</v>
      </c>
      <c r="AB152" s="65">
        <f t="shared" si="48"/>
        <v>32.68</v>
      </c>
      <c r="AC152" s="65">
        <f t="shared" si="49"/>
        <v>16.100000000000001</v>
      </c>
      <c r="AD152" s="65">
        <f t="shared" si="50"/>
        <v>7.76</v>
      </c>
      <c r="AE152" s="65">
        <f t="shared" si="51"/>
        <v>1392.63</v>
      </c>
      <c r="AF152" s="65">
        <f t="shared" si="52"/>
        <v>0</v>
      </c>
      <c r="AG152" s="65">
        <f t="shared" si="53"/>
        <v>4</v>
      </c>
      <c r="AH152" s="65">
        <f t="shared" si="54"/>
        <v>1449.17</v>
      </c>
      <c r="AI152" s="65">
        <v>0</v>
      </c>
      <c r="AJ152" s="65">
        <v>0</v>
      </c>
      <c r="AK152" s="65">
        <v>0</v>
      </c>
      <c r="AL152" s="65">
        <v>0</v>
      </c>
      <c r="AM152" s="65"/>
      <c r="AN152" s="65">
        <f t="shared" si="41"/>
        <v>4</v>
      </c>
      <c r="AO152" s="65">
        <f t="shared" si="42"/>
        <v>1449.17</v>
      </c>
      <c r="AP152" s="65">
        <f t="shared" si="55"/>
        <v>362.29250000000002</v>
      </c>
    </row>
    <row r="153" spans="1:43" s="57" customFormat="1">
      <c r="A153" s="86" t="s">
        <v>135</v>
      </c>
      <c r="B153" s="158" t="s">
        <v>212</v>
      </c>
      <c r="C153" s="161" t="s">
        <v>335</v>
      </c>
      <c r="D153" s="159"/>
      <c r="E153" s="65">
        <v>476</v>
      </c>
      <c r="F153" s="65">
        <f t="shared" si="43"/>
        <v>76525.159999999989</v>
      </c>
      <c r="G153" s="65">
        <v>24462.899999999998</v>
      </c>
      <c r="H153" s="65">
        <v>214.12</v>
      </c>
      <c r="I153" s="65">
        <v>2544.5099999999998</v>
      </c>
      <c r="J153" s="65">
        <v>48774.929999999993</v>
      </c>
      <c r="K153" s="65">
        <v>528.70000000000005</v>
      </c>
      <c r="L153" s="65">
        <v>4</v>
      </c>
      <c r="M153" s="65">
        <f t="shared" si="44"/>
        <v>4806.47</v>
      </c>
      <c r="N153" s="65">
        <v>15.1</v>
      </c>
      <c r="O153" s="65">
        <v>0</v>
      </c>
      <c r="P153" s="65">
        <v>10.57</v>
      </c>
      <c r="Q153" s="65">
        <v>4780.8</v>
      </c>
      <c r="R153" s="65">
        <v>0</v>
      </c>
      <c r="S153" s="65">
        <v>257</v>
      </c>
      <c r="T153" s="65">
        <f t="shared" si="45"/>
        <v>77124.649999999994</v>
      </c>
      <c r="U153" s="65">
        <v>20038.63</v>
      </c>
      <c r="V153" s="65">
        <v>3128.45</v>
      </c>
      <c r="W153" s="65">
        <v>18478.03</v>
      </c>
      <c r="X153" s="65">
        <v>26668.35</v>
      </c>
      <c r="Y153" s="65">
        <v>8811.19</v>
      </c>
      <c r="Z153" s="65">
        <f t="shared" si="46"/>
        <v>737</v>
      </c>
      <c r="AA153" s="65">
        <f t="shared" si="47"/>
        <v>158456.27999999997</v>
      </c>
      <c r="AB153" s="65">
        <f t="shared" si="48"/>
        <v>44516.63</v>
      </c>
      <c r="AC153" s="65">
        <f t="shared" si="49"/>
        <v>3342.5699999999997</v>
      </c>
      <c r="AD153" s="65">
        <f t="shared" si="50"/>
        <v>21033.11</v>
      </c>
      <c r="AE153" s="65">
        <f t="shared" si="51"/>
        <v>80224.079999999987</v>
      </c>
      <c r="AF153" s="65">
        <f t="shared" si="52"/>
        <v>9339.8900000000012</v>
      </c>
      <c r="AG153" s="65">
        <f t="shared" si="53"/>
        <v>737</v>
      </c>
      <c r="AH153" s="65">
        <f t="shared" si="54"/>
        <v>158456.27999999997</v>
      </c>
      <c r="AI153" s="65">
        <v>0</v>
      </c>
      <c r="AJ153" s="65">
        <v>0</v>
      </c>
      <c r="AK153" s="65">
        <v>0</v>
      </c>
      <c r="AL153" s="65">
        <v>0</v>
      </c>
      <c r="AM153" s="65"/>
      <c r="AN153" s="65">
        <f t="shared" si="41"/>
        <v>737</v>
      </c>
      <c r="AO153" s="65">
        <f t="shared" si="42"/>
        <v>158456.27999999997</v>
      </c>
      <c r="AP153" s="65">
        <f t="shared" si="55"/>
        <v>215.00173677069196</v>
      </c>
    </row>
    <row r="154" spans="1:43" s="57" customFormat="1">
      <c r="A154" s="86" t="s">
        <v>240</v>
      </c>
      <c r="B154" s="158" t="s">
        <v>209</v>
      </c>
      <c r="C154" s="161" t="s">
        <v>335</v>
      </c>
      <c r="D154" s="159"/>
      <c r="E154" s="65">
        <v>0</v>
      </c>
      <c r="F154" s="65">
        <f t="shared" si="43"/>
        <v>0</v>
      </c>
      <c r="G154" s="65">
        <v>0</v>
      </c>
      <c r="H154" s="65">
        <v>0</v>
      </c>
      <c r="I154" s="65">
        <v>0</v>
      </c>
      <c r="J154" s="65">
        <v>0</v>
      </c>
      <c r="K154" s="65">
        <v>0</v>
      </c>
      <c r="L154" s="65">
        <v>0</v>
      </c>
      <c r="M154" s="65">
        <f t="shared" si="44"/>
        <v>0</v>
      </c>
      <c r="N154" s="65">
        <v>0</v>
      </c>
      <c r="O154" s="65">
        <v>0</v>
      </c>
      <c r="P154" s="65">
        <v>0</v>
      </c>
      <c r="Q154" s="65">
        <v>0</v>
      </c>
      <c r="R154" s="65">
        <v>0</v>
      </c>
      <c r="S154" s="65">
        <v>0</v>
      </c>
      <c r="T154" s="65">
        <f t="shared" si="45"/>
        <v>0</v>
      </c>
      <c r="U154" s="65">
        <v>0</v>
      </c>
      <c r="V154" s="65">
        <v>0</v>
      </c>
      <c r="W154" s="65">
        <v>0</v>
      </c>
      <c r="X154" s="65">
        <v>0</v>
      </c>
      <c r="Y154" s="65">
        <v>0</v>
      </c>
      <c r="Z154" s="65">
        <f t="shared" si="46"/>
        <v>0</v>
      </c>
      <c r="AA154" s="65">
        <f t="shared" si="47"/>
        <v>0</v>
      </c>
      <c r="AB154" s="65">
        <f t="shared" si="48"/>
        <v>0</v>
      </c>
      <c r="AC154" s="65">
        <f t="shared" si="49"/>
        <v>0</v>
      </c>
      <c r="AD154" s="65">
        <f t="shared" si="50"/>
        <v>0</v>
      </c>
      <c r="AE154" s="65">
        <f t="shared" si="51"/>
        <v>0</v>
      </c>
      <c r="AF154" s="65">
        <f t="shared" si="52"/>
        <v>0</v>
      </c>
      <c r="AG154" s="65">
        <f t="shared" si="53"/>
        <v>0</v>
      </c>
      <c r="AH154" s="65">
        <f t="shared" si="54"/>
        <v>0</v>
      </c>
      <c r="AI154" s="65">
        <v>0</v>
      </c>
      <c r="AJ154" s="65">
        <v>0</v>
      </c>
      <c r="AK154" s="65">
        <v>0</v>
      </c>
      <c r="AL154" s="65">
        <v>0</v>
      </c>
      <c r="AM154" s="65"/>
      <c r="AN154" s="65">
        <f t="shared" si="41"/>
        <v>0</v>
      </c>
      <c r="AO154" s="65">
        <f t="shared" si="42"/>
        <v>0</v>
      </c>
      <c r="AP154" s="65" t="e">
        <f t="shared" si="55"/>
        <v>#DIV/0!</v>
      </c>
    </row>
    <row r="155" spans="1:43" s="57" customFormat="1">
      <c r="A155" s="86" t="s">
        <v>136</v>
      </c>
      <c r="B155" s="158" t="s">
        <v>209</v>
      </c>
      <c r="C155" s="161" t="s">
        <v>335</v>
      </c>
      <c r="D155" s="159"/>
      <c r="E155" s="65">
        <v>0</v>
      </c>
      <c r="F155" s="65">
        <f>SUM(G155:K155)</f>
        <v>0</v>
      </c>
      <c r="G155" s="65">
        <v>0</v>
      </c>
      <c r="H155" s="65">
        <v>0</v>
      </c>
      <c r="I155" s="65">
        <v>0</v>
      </c>
      <c r="J155" s="65">
        <v>0</v>
      </c>
      <c r="K155" s="65">
        <v>0</v>
      </c>
      <c r="L155" s="65">
        <v>0</v>
      </c>
      <c r="M155" s="65">
        <f t="shared" si="44"/>
        <v>0</v>
      </c>
      <c r="N155" s="65">
        <v>0</v>
      </c>
      <c r="O155" s="65">
        <v>0</v>
      </c>
      <c r="P155" s="65">
        <v>0</v>
      </c>
      <c r="Q155" s="65">
        <v>0</v>
      </c>
      <c r="R155" s="65">
        <v>0</v>
      </c>
      <c r="S155" s="65">
        <v>2</v>
      </c>
      <c r="T155" s="65">
        <f t="shared" si="45"/>
        <v>77</v>
      </c>
      <c r="U155" s="65">
        <v>23</v>
      </c>
      <c r="V155" s="65">
        <v>0</v>
      </c>
      <c r="W155" s="65">
        <v>0</v>
      </c>
      <c r="X155" s="65">
        <v>0</v>
      </c>
      <c r="Y155" s="65">
        <v>54</v>
      </c>
      <c r="Z155" s="65">
        <f t="shared" si="46"/>
        <v>2</v>
      </c>
      <c r="AA155" s="65">
        <f t="shared" si="47"/>
        <v>77</v>
      </c>
      <c r="AB155" s="65">
        <f t="shared" si="48"/>
        <v>23</v>
      </c>
      <c r="AC155" s="65">
        <f t="shared" si="49"/>
        <v>0</v>
      </c>
      <c r="AD155" s="65">
        <f t="shared" si="50"/>
        <v>0</v>
      </c>
      <c r="AE155" s="65">
        <f t="shared" si="51"/>
        <v>0</v>
      </c>
      <c r="AF155" s="65">
        <f t="shared" si="52"/>
        <v>54</v>
      </c>
      <c r="AG155" s="65">
        <f t="shared" si="53"/>
        <v>2</v>
      </c>
      <c r="AH155" s="65">
        <f t="shared" si="54"/>
        <v>77</v>
      </c>
      <c r="AI155" s="65">
        <v>0</v>
      </c>
      <c r="AJ155" s="65">
        <v>0</v>
      </c>
      <c r="AK155" s="65">
        <v>0</v>
      </c>
      <c r="AL155" s="65">
        <v>0</v>
      </c>
      <c r="AM155" s="65"/>
      <c r="AN155" s="65">
        <f t="shared" si="41"/>
        <v>2</v>
      </c>
      <c r="AO155" s="65">
        <f t="shared" si="42"/>
        <v>77</v>
      </c>
      <c r="AP155" s="65">
        <f t="shared" si="55"/>
        <v>38.5</v>
      </c>
    </row>
    <row r="156" spans="1:43" s="57" customFormat="1">
      <c r="A156" s="132" t="s">
        <v>314</v>
      </c>
      <c r="B156" s="161" t="s">
        <v>209</v>
      </c>
      <c r="C156" s="161" t="s">
        <v>335</v>
      </c>
      <c r="D156" s="159"/>
      <c r="E156" s="65">
        <v>0</v>
      </c>
      <c r="F156" s="65">
        <f t="shared" si="43"/>
        <v>0</v>
      </c>
      <c r="G156" s="65">
        <v>0</v>
      </c>
      <c r="H156" s="65">
        <v>0</v>
      </c>
      <c r="I156" s="65">
        <v>0</v>
      </c>
      <c r="J156" s="65">
        <v>0</v>
      </c>
      <c r="K156" s="65">
        <v>0</v>
      </c>
      <c r="L156" s="65">
        <v>0</v>
      </c>
      <c r="M156" s="65">
        <f t="shared" si="44"/>
        <v>0</v>
      </c>
      <c r="N156" s="65">
        <v>0</v>
      </c>
      <c r="O156" s="65">
        <v>0</v>
      </c>
      <c r="P156" s="65">
        <v>0</v>
      </c>
      <c r="Q156" s="65">
        <v>0</v>
      </c>
      <c r="R156" s="65">
        <v>0</v>
      </c>
      <c r="S156" s="65">
        <v>0</v>
      </c>
      <c r="T156" s="65">
        <f t="shared" si="45"/>
        <v>0</v>
      </c>
      <c r="U156" s="65">
        <v>0</v>
      </c>
      <c r="V156" s="65">
        <v>0</v>
      </c>
      <c r="W156" s="65">
        <v>0</v>
      </c>
      <c r="X156" s="65">
        <v>0</v>
      </c>
      <c r="Y156" s="65">
        <v>0</v>
      </c>
      <c r="Z156" s="65">
        <f t="shared" si="46"/>
        <v>0</v>
      </c>
      <c r="AA156" s="65">
        <f t="shared" si="47"/>
        <v>0</v>
      </c>
      <c r="AB156" s="65">
        <f t="shared" si="48"/>
        <v>0</v>
      </c>
      <c r="AC156" s="65">
        <f t="shared" si="49"/>
        <v>0</v>
      </c>
      <c r="AD156" s="65">
        <f t="shared" si="50"/>
        <v>0</v>
      </c>
      <c r="AE156" s="65">
        <f t="shared" si="51"/>
        <v>0</v>
      </c>
      <c r="AF156" s="65">
        <f t="shared" si="52"/>
        <v>0</v>
      </c>
      <c r="AG156" s="65">
        <f t="shared" si="53"/>
        <v>0</v>
      </c>
      <c r="AH156" s="65">
        <f t="shared" si="54"/>
        <v>0</v>
      </c>
      <c r="AI156" s="65">
        <v>0</v>
      </c>
      <c r="AJ156" s="65">
        <v>0</v>
      </c>
      <c r="AK156" s="65">
        <v>0</v>
      </c>
      <c r="AL156" s="65">
        <v>0</v>
      </c>
      <c r="AM156" s="65"/>
      <c r="AN156" s="65">
        <f t="shared" si="41"/>
        <v>0</v>
      </c>
      <c r="AO156" s="65">
        <f t="shared" si="42"/>
        <v>0</v>
      </c>
      <c r="AP156" s="65" t="e">
        <f t="shared" si="55"/>
        <v>#DIV/0!</v>
      </c>
    </row>
    <row r="157" spans="1:43" s="57" customFormat="1">
      <c r="A157" s="86" t="s">
        <v>137</v>
      </c>
      <c r="B157" s="158" t="s">
        <v>212</v>
      </c>
      <c r="C157" s="161" t="s">
        <v>335</v>
      </c>
      <c r="D157" s="159"/>
      <c r="E157" s="65">
        <v>179</v>
      </c>
      <c r="F157" s="65">
        <f t="shared" si="43"/>
        <v>65592.759999999995</v>
      </c>
      <c r="G157" s="65">
        <v>3402.41</v>
      </c>
      <c r="H157" s="65">
        <v>0</v>
      </c>
      <c r="I157" s="65">
        <v>71.61999999999999</v>
      </c>
      <c r="J157" s="65">
        <v>62021</v>
      </c>
      <c r="K157" s="65">
        <v>97.72999999999999</v>
      </c>
      <c r="L157" s="65">
        <v>4</v>
      </c>
      <c r="M157" s="65">
        <f t="shared" si="44"/>
        <v>3842.22</v>
      </c>
      <c r="N157" s="65">
        <v>14.52</v>
      </c>
      <c r="O157" s="65">
        <v>0</v>
      </c>
      <c r="P157" s="65">
        <v>0</v>
      </c>
      <c r="Q157" s="65">
        <v>3827.7</v>
      </c>
      <c r="R157" s="65">
        <v>0</v>
      </c>
      <c r="S157" s="65">
        <v>6</v>
      </c>
      <c r="T157" s="65">
        <f t="shared" si="45"/>
        <v>1903.57</v>
      </c>
      <c r="U157" s="65">
        <v>151.94999999999999</v>
      </c>
      <c r="V157" s="65">
        <v>0</v>
      </c>
      <c r="W157" s="65">
        <v>102.64</v>
      </c>
      <c r="X157" s="65">
        <v>1594</v>
      </c>
      <c r="Y157" s="65">
        <v>54.98</v>
      </c>
      <c r="Z157" s="65">
        <f t="shared" si="46"/>
        <v>189</v>
      </c>
      <c r="AA157" s="65">
        <f t="shared" si="47"/>
        <v>71338.55</v>
      </c>
      <c r="AB157" s="65">
        <f t="shared" si="48"/>
        <v>3568.8799999999997</v>
      </c>
      <c r="AC157" s="65">
        <f t="shared" si="49"/>
        <v>0</v>
      </c>
      <c r="AD157" s="65">
        <f t="shared" si="50"/>
        <v>174.26</v>
      </c>
      <c r="AE157" s="65">
        <f t="shared" si="51"/>
        <v>67442.7</v>
      </c>
      <c r="AF157" s="65">
        <f t="shared" si="52"/>
        <v>152.70999999999998</v>
      </c>
      <c r="AG157" s="65">
        <f t="shared" si="53"/>
        <v>189</v>
      </c>
      <c r="AH157" s="65">
        <f t="shared" si="54"/>
        <v>71338.55</v>
      </c>
      <c r="AI157" s="65">
        <v>0</v>
      </c>
      <c r="AJ157" s="65">
        <v>0</v>
      </c>
      <c r="AK157" s="65">
        <v>0</v>
      </c>
      <c r="AL157" s="65">
        <v>0</v>
      </c>
      <c r="AM157" s="65"/>
      <c r="AN157" s="65">
        <f t="shared" si="41"/>
        <v>189</v>
      </c>
      <c r="AO157" s="65">
        <f t="shared" si="42"/>
        <v>71338.55</v>
      </c>
      <c r="AP157" s="65">
        <f t="shared" si="55"/>
        <v>377.45264550264551</v>
      </c>
    </row>
    <row r="158" spans="1:43" s="57" customFormat="1">
      <c r="A158" s="132" t="s">
        <v>315</v>
      </c>
      <c r="B158" s="161" t="s">
        <v>211</v>
      </c>
      <c r="C158" s="161" t="s">
        <v>335</v>
      </c>
      <c r="D158" s="159"/>
      <c r="E158" s="65">
        <v>1</v>
      </c>
      <c r="F158" s="65">
        <f t="shared" si="43"/>
        <v>1204</v>
      </c>
      <c r="G158" s="65">
        <v>0</v>
      </c>
      <c r="H158" s="65">
        <v>0</v>
      </c>
      <c r="I158" s="65">
        <v>0</v>
      </c>
      <c r="J158" s="65">
        <v>1204</v>
      </c>
      <c r="K158" s="65">
        <v>0</v>
      </c>
      <c r="L158" s="65">
        <v>0</v>
      </c>
      <c r="M158" s="65">
        <f t="shared" si="44"/>
        <v>0</v>
      </c>
      <c r="N158" s="65">
        <v>0</v>
      </c>
      <c r="O158" s="65">
        <v>0</v>
      </c>
      <c r="P158" s="65">
        <v>0</v>
      </c>
      <c r="Q158" s="65">
        <v>0</v>
      </c>
      <c r="R158" s="65">
        <v>0</v>
      </c>
      <c r="S158" s="65">
        <v>0</v>
      </c>
      <c r="T158" s="65">
        <f t="shared" si="45"/>
        <v>0</v>
      </c>
      <c r="U158" s="65">
        <v>0</v>
      </c>
      <c r="V158" s="65">
        <v>0</v>
      </c>
      <c r="W158" s="65">
        <v>0</v>
      </c>
      <c r="X158" s="65">
        <v>0</v>
      </c>
      <c r="Y158" s="65">
        <v>0</v>
      </c>
      <c r="Z158" s="65">
        <f t="shared" si="46"/>
        <v>1</v>
      </c>
      <c r="AA158" s="65">
        <f t="shared" si="47"/>
        <v>1204</v>
      </c>
      <c r="AB158" s="65">
        <f t="shared" si="48"/>
        <v>0</v>
      </c>
      <c r="AC158" s="65">
        <f t="shared" si="49"/>
        <v>0</v>
      </c>
      <c r="AD158" s="65">
        <f t="shared" si="50"/>
        <v>0</v>
      </c>
      <c r="AE158" s="65">
        <f t="shared" si="51"/>
        <v>1204</v>
      </c>
      <c r="AF158" s="65">
        <f t="shared" si="52"/>
        <v>0</v>
      </c>
      <c r="AG158" s="65">
        <f t="shared" si="53"/>
        <v>1</v>
      </c>
      <c r="AH158" s="65">
        <f t="shared" si="54"/>
        <v>1204</v>
      </c>
      <c r="AI158" s="65">
        <v>0</v>
      </c>
      <c r="AJ158" s="65">
        <v>0</v>
      </c>
      <c r="AK158" s="65">
        <v>0</v>
      </c>
      <c r="AL158" s="65">
        <v>0</v>
      </c>
      <c r="AM158" s="65"/>
      <c r="AN158" s="65">
        <f t="shared" si="41"/>
        <v>1</v>
      </c>
      <c r="AO158" s="65">
        <f t="shared" si="42"/>
        <v>1204</v>
      </c>
      <c r="AP158" s="65">
        <f t="shared" si="55"/>
        <v>1204</v>
      </c>
    </row>
    <row r="159" spans="1:43" s="57" customFormat="1">
      <c r="A159" s="86" t="s">
        <v>138</v>
      </c>
      <c r="B159" s="158" t="s">
        <v>211</v>
      </c>
      <c r="C159" s="161" t="s">
        <v>335</v>
      </c>
      <c r="D159" s="159"/>
      <c r="E159" s="65">
        <v>5</v>
      </c>
      <c r="F159" s="65">
        <f t="shared" si="43"/>
        <v>556.25</v>
      </c>
      <c r="G159" s="65">
        <v>125.96000000000001</v>
      </c>
      <c r="H159" s="65">
        <v>0</v>
      </c>
      <c r="I159" s="65">
        <v>0</v>
      </c>
      <c r="J159" s="65">
        <v>430.29</v>
      </c>
      <c r="K159" s="65">
        <v>0</v>
      </c>
      <c r="L159" s="65">
        <v>0</v>
      </c>
      <c r="M159" s="65">
        <f t="shared" si="44"/>
        <v>0</v>
      </c>
      <c r="N159" s="65">
        <v>0</v>
      </c>
      <c r="O159" s="65">
        <v>0</v>
      </c>
      <c r="P159" s="65">
        <v>0</v>
      </c>
      <c r="Q159" s="65">
        <v>0</v>
      </c>
      <c r="R159" s="65">
        <v>0</v>
      </c>
      <c r="S159" s="65">
        <v>8</v>
      </c>
      <c r="T159" s="65">
        <f t="shared" si="45"/>
        <v>452.16</v>
      </c>
      <c r="U159" s="65">
        <v>377.12</v>
      </c>
      <c r="V159" s="65">
        <v>75.040000000000006</v>
      </c>
      <c r="W159" s="65">
        <v>0</v>
      </c>
      <c r="X159" s="65">
        <v>0</v>
      </c>
      <c r="Y159" s="65">
        <v>0</v>
      </c>
      <c r="Z159" s="65">
        <f t="shared" si="46"/>
        <v>13</v>
      </c>
      <c r="AA159" s="65">
        <f t="shared" si="47"/>
        <v>1008.4100000000001</v>
      </c>
      <c r="AB159" s="65">
        <f t="shared" si="48"/>
        <v>503.08000000000004</v>
      </c>
      <c r="AC159" s="65">
        <f t="shared" si="49"/>
        <v>75.040000000000006</v>
      </c>
      <c r="AD159" s="65">
        <f t="shared" si="50"/>
        <v>0</v>
      </c>
      <c r="AE159" s="65">
        <f t="shared" si="51"/>
        <v>430.29</v>
      </c>
      <c r="AF159" s="65">
        <f t="shared" si="52"/>
        <v>0</v>
      </c>
      <c r="AG159" s="65">
        <f t="shared" si="53"/>
        <v>13</v>
      </c>
      <c r="AH159" s="65">
        <f t="shared" si="54"/>
        <v>1008.4100000000001</v>
      </c>
      <c r="AI159" s="65">
        <v>0</v>
      </c>
      <c r="AJ159" s="65">
        <v>0</v>
      </c>
      <c r="AK159" s="65">
        <v>0</v>
      </c>
      <c r="AL159" s="65">
        <v>0</v>
      </c>
      <c r="AM159" s="65"/>
      <c r="AN159" s="65">
        <f t="shared" si="41"/>
        <v>13</v>
      </c>
      <c r="AO159" s="65">
        <f t="shared" si="42"/>
        <v>1008.4100000000001</v>
      </c>
      <c r="AP159" s="65">
        <f t="shared" si="55"/>
        <v>77.570000000000007</v>
      </c>
    </row>
    <row r="160" spans="1:43" s="57" customFormat="1">
      <c r="A160" s="86" t="s">
        <v>241</v>
      </c>
      <c r="B160" s="158" t="s">
        <v>209</v>
      </c>
      <c r="C160" s="161" t="s">
        <v>335</v>
      </c>
      <c r="D160" s="159"/>
      <c r="E160" s="65">
        <v>4</v>
      </c>
      <c r="F160" s="65">
        <f t="shared" si="43"/>
        <v>194.92000000000002</v>
      </c>
      <c r="G160" s="65">
        <v>62.430000000000007</v>
      </c>
      <c r="H160" s="65">
        <v>0</v>
      </c>
      <c r="I160" s="65">
        <v>12.79</v>
      </c>
      <c r="J160" s="65">
        <v>0</v>
      </c>
      <c r="K160" s="65">
        <v>119.7</v>
      </c>
      <c r="L160" s="65">
        <v>0</v>
      </c>
      <c r="M160" s="65">
        <f t="shared" si="44"/>
        <v>0</v>
      </c>
      <c r="N160" s="65">
        <v>0</v>
      </c>
      <c r="O160" s="65">
        <v>0</v>
      </c>
      <c r="P160" s="65">
        <v>0</v>
      </c>
      <c r="Q160" s="65">
        <v>0</v>
      </c>
      <c r="R160" s="65">
        <v>0</v>
      </c>
      <c r="S160" s="65">
        <v>0</v>
      </c>
      <c r="T160" s="65">
        <f t="shared" si="45"/>
        <v>0</v>
      </c>
      <c r="U160" s="65">
        <v>0</v>
      </c>
      <c r="V160" s="65">
        <v>0</v>
      </c>
      <c r="W160" s="65">
        <v>0</v>
      </c>
      <c r="X160" s="65">
        <v>0</v>
      </c>
      <c r="Y160" s="65">
        <v>0</v>
      </c>
      <c r="Z160" s="65">
        <f t="shared" si="46"/>
        <v>4</v>
      </c>
      <c r="AA160" s="65">
        <f t="shared" si="47"/>
        <v>194.92000000000002</v>
      </c>
      <c r="AB160" s="65">
        <f t="shared" si="48"/>
        <v>62.430000000000007</v>
      </c>
      <c r="AC160" s="65">
        <f t="shared" si="49"/>
        <v>0</v>
      </c>
      <c r="AD160" s="65">
        <f t="shared" si="50"/>
        <v>12.79</v>
      </c>
      <c r="AE160" s="65">
        <f t="shared" si="51"/>
        <v>0</v>
      </c>
      <c r="AF160" s="65">
        <f t="shared" si="52"/>
        <v>119.7</v>
      </c>
      <c r="AG160" s="65">
        <f t="shared" si="53"/>
        <v>4</v>
      </c>
      <c r="AH160" s="65">
        <f t="shared" si="54"/>
        <v>194.92000000000002</v>
      </c>
      <c r="AI160" s="65">
        <v>0</v>
      </c>
      <c r="AJ160" s="65">
        <v>0</v>
      </c>
      <c r="AK160" s="65">
        <v>0</v>
      </c>
      <c r="AL160" s="65">
        <v>0</v>
      </c>
      <c r="AM160" s="65"/>
      <c r="AN160" s="65">
        <f t="shared" si="41"/>
        <v>4</v>
      </c>
      <c r="AO160" s="65">
        <f t="shared" si="42"/>
        <v>194.92000000000002</v>
      </c>
      <c r="AP160" s="65">
        <f t="shared" si="55"/>
        <v>48.730000000000004</v>
      </c>
    </row>
    <row r="161" spans="1:42" s="57" customFormat="1">
      <c r="A161" s="86" t="s">
        <v>139</v>
      </c>
      <c r="B161" s="158" t="s">
        <v>212</v>
      </c>
      <c r="C161" s="161" t="s">
        <v>335</v>
      </c>
      <c r="D161" s="159"/>
      <c r="E161" s="65">
        <v>7</v>
      </c>
      <c r="F161" s="65">
        <f t="shared" si="43"/>
        <v>2292.04</v>
      </c>
      <c r="G161" s="65">
        <v>429.42</v>
      </c>
      <c r="H161" s="65">
        <v>49.82</v>
      </c>
      <c r="I161" s="65">
        <v>1232.74</v>
      </c>
      <c r="J161" s="65">
        <v>449.72</v>
      </c>
      <c r="K161" s="65">
        <v>130.34</v>
      </c>
      <c r="L161" s="65">
        <v>0</v>
      </c>
      <c r="M161" s="65">
        <f t="shared" si="44"/>
        <v>0</v>
      </c>
      <c r="N161" s="65">
        <v>0</v>
      </c>
      <c r="O161" s="65">
        <v>0</v>
      </c>
      <c r="P161" s="65">
        <v>0</v>
      </c>
      <c r="Q161" s="65">
        <v>0</v>
      </c>
      <c r="R161" s="65">
        <v>0</v>
      </c>
      <c r="S161" s="65">
        <v>1</v>
      </c>
      <c r="T161" s="65">
        <f t="shared" si="45"/>
        <v>90.46</v>
      </c>
      <c r="U161" s="65">
        <v>17.89</v>
      </c>
      <c r="V161" s="65">
        <v>31.08</v>
      </c>
      <c r="W161" s="65">
        <v>29.22</v>
      </c>
      <c r="X161" s="65">
        <v>0</v>
      </c>
      <c r="Y161" s="65">
        <v>12.27</v>
      </c>
      <c r="Z161" s="65">
        <f t="shared" si="46"/>
        <v>8</v>
      </c>
      <c r="AA161" s="65">
        <f t="shared" si="47"/>
        <v>2382.5</v>
      </c>
      <c r="AB161" s="65">
        <f t="shared" si="48"/>
        <v>447.31</v>
      </c>
      <c r="AC161" s="65">
        <f t="shared" si="49"/>
        <v>80.900000000000006</v>
      </c>
      <c r="AD161" s="65">
        <f t="shared" si="50"/>
        <v>1261.96</v>
      </c>
      <c r="AE161" s="65">
        <f t="shared" si="51"/>
        <v>449.72</v>
      </c>
      <c r="AF161" s="65">
        <f t="shared" si="52"/>
        <v>142.61000000000001</v>
      </c>
      <c r="AG161" s="65">
        <f t="shared" si="53"/>
        <v>8</v>
      </c>
      <c r="AH161" s="65">
        <f t="shared" si="54"/>
        <v>2382.5</v>
      </c>
      <c r="AI161" s="65">
        <v>0</v>
      </c>
      <c r="AJ161" s="65">
        <v>0</v>
      </c>
      <c r="AK161" s="65">
        <v>0</v>
      </c>
      <c r="AL161" s="65">
        <v>0</v>
      </c>
      <c r="AM161" s="65"/>
      <c r="AN161" s="65">
        <f t="shared" si="41"/>
        <v>8</v>
      </c>
      <c r="AO161" s="65">
        <f t="shared" si="42"/>
        <v>2382.5</v>
      </c>
      <c r="AP161" s="65">
        <f t="shared" si="55"/>
        <v>297.8125</v>
      </c>
    </row>
    <row r="162" spans="1:42" s="57" customFormat="1">
      <c r="A162" s="86" t="s">
        <v>242</v>
      </c>
      <c r="B162" s="158" t="s">
        <v>212</v>
      </c>
      <c r="C162" s="161" t="s">
        <v>335</v>
      </c>
      <c r="D162" s="159"/>
      <c r="E162" s="65">
        <v>4</v>
      </c>
      <c r="F162" s="65">
        <f t="shared" si="43"/>
        <v>410.72</v>
      </c>
      <c r="G162" s="65">
        <v>26.35</v>
      </c>
      <c r="H162" s="65">
        <v>0</v>
      </c>
      <c r="I162" s="65">
        <v>0</v>
      </c>
      <c r="J162" s="65">
        <v>384.37</v>
      </c>
      <c r="K162" s="65">
        <v>0</v>
      </c>
      <c r="L162" s="65">
        <v>0</v>
      </c>
      <c r="M162" s="65">
        <f t="shared" si="44"/>
        <v>0</v>
      </c>
      <c r="N162" s="65">
        <v>0</v>
      </c>
      <c r="O162" s="65">
        <v>0</v>
      </c>
      <c r="P162" s="65">
        <v>0</v>
      </c>
      <c r="Q162" s="65">
        <v>0</v>
      </c>
      <c r="R162" s="65">
        <v>0</v>
      </c>
      <c r="S162" s="65">
        <v>0</v>
      </c>
      <c r="T162" s="65">
        <f t="shared" si="45"/>
        <v>0</v>
      </c>
      <c r="U162" s="65">
        <v>0</v>
      </c>
      <c r="V162" s="65">
        <v>0</v>
      </c>
      <c r="W162" s="65">
        <v>0</v>
      </c>
      <c r="X162" s="65">
        <v>0</v>
      </c>
      <c r="Y162" s="65">
        <v>0</v>
      </c>
      <c r="Z162" s="65">
        <f t="shared" si="46"/>
        <v>4</v>
      </c>
      <c r="AA162" s="65">
        <f t="shared" si="47"/>
        <v>410.72</v>
      </c>
      <c r="AB162" s="65">
        <f t="shared" si="48"/>
        <v>26.35</v>
      </c>
      <c r="AC162" s="65">
        <f t="shared" si="49"/>
        <v>0</v>
      </c>
      <c r="AD162" s="65">
        <f t="shared" si="50"/>
        <v>0</v>
      </c>
      <c r="AE162" s="65">
        <f t="shared" si="51"/>
        <v>384.37</v>
      </c>
      <c r="AF162" s="65">
        <f t="shared" si="52"/>
        <v>0</v>
      </c>
      <c r="AG162" s="65">
        <f t="shared" si="53"/>
        <v>4</v>
      </c>
      <c r="AH162" s="65">
        <f t="shared" si="54"/>
        <v>410.72</v>
      </c>
      <c r="AI162" s="65">
        <v>0</v>
      </c>
      <c r="AJ162" s="65">
        <v>0</v>
      </c>
      <c r="AK162" s="65">
        <v>0</v>
      </c>
      <c r="AL162" s="65">
        <v>0</v>
      </c>
      <c r="AM162" s="65"/>
      <c r="AN162" s="65">
        <f t="shared" si="41"/>
        <v>4</v>
      </c>
      <c r="AO162" s="65">
        <f t="shared" si="42"/>
        <v>410.72</v>
      </c>
      <c r="AP162" s="65">
        <f t="shared" si="55"/>
        <v>102.68</v>
      </c>
    </row>
    <row r="163" spans="1:42" s="57" customFormat="1">
      <c r="A163" s="86" t="s">
        <v>140</v>
      </c>
      <c r="B163" s="158" t="s">
        <v>212</v>
      </c>
      <c r="C163" s="161" t="s">
        <v>335</v>
      </c>
      <c r="D163" s="159"/>
      <c r="E163" s="65">
        <v>117</v>
      </c>
      <c r="F163" s="65">
        <f t="shared" si="43"/>
        <v>18349.61</v>
      </c>
      <c r="G163" s="65">
        <v>5396.73</v>
      </c>
      <c r="H163" s="65">
        <v>30.91</v>
      </c>
      <c r="I163" s="65">
        <v>479.57</v>
      </c>
      <c r="J163" s="65">
        <v>12392.050000000001</v>
      </c>
      <c r="K163" s="65">
        <v>50.349999999999994</v>
      </c>
      <c r="L163" s="65">
        <v>0</v>
      </c>
      <c r="M163" s="65">
        <f t="shared" si="44"/>
        <v>0</v>
      </c>
      <c r="N163" s="65">
        <v>0</v>
      </c>
      <c r="O163" s="65">
        <v>0</v>
      </c>
      <c r="P163" s="65">
        <v>0</v>
      </c>
      <c r="Q163" s="65">
        <v>0</v>
      </c>
      <c r="R163" s="65">
        <v>0</v>
      </c>
      <c r="S163" s="65">
        <v>27</v>
      </c>
      <c r="T163" s="65">
        <f t="shared" si="45"/>
        <v>18425.29</v>
      </c>
      <c r="U163" s="65">
        <v>1845.61</v>
      </c>
      <c r="V163" s="65">
        <v>426.67</v>
      </c>
      <c r="W163" s="65">
        <v>3857.7</v>
      </c>
      <c r="X163" s="65">
        <v>11712.6</v>
      </c>
      <c r="Y163" s="65">
        <v>582.71</v>
      </c>
      <c r="Z163" s="65">
        <f t="shared" si="46"/>
        <v>144</v>
      </c>
      <c r="AA163" s="65">
        <f t="shared" si="47"/>
        <v>36774.9</v>
      </c>
      <c r="AB163" s="65">
        <f t="shared" si="48"/>
        <v>7242.3399999999992</v>
      </c>
      <c r="AC163" s="65">
        <f t="shared" si="49"/>
        <v>457.58000000000004</v>
      </c>
      <c r="AD163" s="65">
        <f t="shared" si="50"/>
        <v>4337.2699999999995</v>
      </c>
      <c r="AE163" s="65">
        <f t="shared" si="51"/>
        <v>24104.65</v>
      </c>
      <c r="AF163" s="65">
        <f t="shared" si="52"/>
        <v>633.06000000000006</v>
      </c>
      <c r="AG163" s="65">
        <f t="shared" si="53"/>
        <v>144</v>
      </c>
      <c r="AH163" s="65">
        <f t="shared" si="54"/>
        <v>36774.9</v>
      </c>
      <c r="AI163" s="65">
        <v>0</v>
      </c>
      <c r="AJ163" s="65">
        <v>0</v>
      </c>
      <c r="AK163" s="65">
        <v>0</v>
      </c>
      <c r="AL163" s="65">
        <v>0</v>
      </c>
      <c r="AM163" s="65"/>
      <c r="AN163" s="65">
        <f t="shared" si="41"/>
        <v>144</v>
      </c>
      <c r="AO163" s="65">
        <f t="shared" si="42"/>
        <v>36774.9</v>
      </c>
      <c r="AP163" s="65">
        <f t="shared" si="55"/>
        <v>255.38125000000002</v>
      </c>
    </row>
    <row r="164" spans="1:42" s="57" customFormat="1">
      <c r="A164" s="86" t="s">
        <v>141</v>
      </c>
      <c r="B164" s="158" t="s">
        <v>209</v>
      </c>
      <c r="C164" s="161" t="s">
        <v>335</v>
      </c>
      <c r="D164" s="159"/>
      <c r="E164" s="65">
        <v>57</v>
      </c>
      <c r="F164" s="65">
        <f t="shared" si="43"/>
        <v>10936.49</v>
      </c>
      <c r="G164" s="65">
        <v>2526.25</v>
      </c>
      <c r="H164" s="65">
        <v>0</v>
      </c>
      <c r="I164" s="65">
        <v>203.27</v>
      </c>
      <c r="J164" s="65">
        <v>8136.55</v>
      </c>
      <c r="K164" s="65">
        <v>70.42</v>
      </c>
      <c r="L164" s="65">
        <v>0</v>
      </c>
      <c r="M164" s="65">
        <f t="shared" si="44"/>
        <v>0</v>
      </c>
      <c r="N164" s="65">
        <v>0</v>
      </c>
      <c r="O164" s="65">
        <v>0</v>
      </c>
      <c r="P164" s="65">
        <v>0</v>
      </c>
      <c r="Q164" s="65">
        <v>0</v>
      </c>
      <c r="R164" s="65">
        <v>0</v>
      </c>
      <c r="S164" s="65">
        <v>16</v>
      </c>
      <c r="T164" s="65">
        <f t="shared" si="45"/>
        <v>2532.3500000000004</v>
      </c>
      <c r="U164" s="65">
        <v>737.3</v>
      </c>
      <c r="V164" s="65">
        <v>117.18</v>
      </c>
      <c r="W164" s="65">
        <v>155.66</v>
      </c>
      <c r="X164" s="65">
        <v>1053.43</v>
      </c>
      <c r="Y164" s="65">
        <v>468.78</v>
      </c>
      <c r="Z164" s="65">
        <f t="shared" si="46"/>
        <v>73</v>
      </c>
      <c r="AA164" s="65">
        <f t="shared" si="47"/>
        <v>13468.84</v>
      </c>
      <c r="AB164" s="65">
        <f t="shared" si="48"/>
        <v>3263.55</v>
      </c>
      <c r="AC164" s="65">
        <f t="shared" si="49"/>
        <v>117.18</v>
      </c>
      <c r="AD164" s="65">
        <f t="shared" si="50"/>
        <v>358.93</v>
      </c>
      <c r="AE164" s="65">
        <f t="shared" si="51"/>
        <v>9189.98</v>
      </c>
      <c r="AF164" s="65">
        <f t="shared" si="52"/>
        <v>539.19999999999993</v>
      </c>
      <c r="AG164" s="65">
        <f t="shared" si="53"/>
        <v>73</v>
      </c>
      <c r="AH164" s="65">
        <f t="shared" si="54"/>
        <v>13468.84</v>
      </c>
      <c r="AI164" s="65">
        <v>0</v>
      </c>
      <c r="AJ164" s="65">
        <v>0</v>
      </c>
      <c r="AK164" s="65">
        <v>0</v>
      </c>
      <c r="AL164" s="65">
        <v>0</v>
      </c>
      <c r="AM164" s="65"/>
      <c r="AN164" s="65">
        <f t="shared" si="41"/>
        <v>73</v>
      </c>
      <c r="AO164" s="65">
        <f t="shared" si="42"/>
        <v>13468.84</v>
      </c>
      <c r="AP164" s="65">
        <f t="shared" si="55"/>
        <v>184.50465753424658</v>
      </c>
    </row>
    <row r="165" spans="1:42" s="57" customFormat="1">
      <c r="A165" s="86" t="s">
        <v>142</v>
      </c>
      <c r="B165" s="158" t="s">
        <v>209</v>
      </c>
      <c r="C165" s="161" t="s">
        <v>335</v>
      </c>
      <c r="D165" s="159"/>
      <c r="E165" s="65">
        <v>8</v>
      </c>
      <c r="F165" s="65">
        <f t="shared" si="43"/>
        <v>1576.63</v>
      </c>
      <c r="G165" s="65">
        <v>154.06</v>
      </c>
      <c r="H165" s="65">
        <v>0</v>
      </c>
      <c r="I165" s="65">
        <v>27.770000000000003</v>
      </c>
      <c r="J165" s="65">
        <v>1357.16</v>
      </c>
      <c r="K165" s="65">
        <v>37.64</v>
      </c>
      <c r="L165" s="65">
        <v>0</v>
      </c>
      <c r="M165" s="65">
        <f t="shared" si="44"/>
        <v>0</v>
      </c>
      <c r="N165" s="65">
        <v>0</v>
      </c>
      <c r="O165" s="65">
        <v>0</v>
      </c>
      <c r="P165" s="65">
        <v>0</v>
      </c>
      <c r="Q165" s="65">
        <v>0</v>
      </c>
      <c r="R165" s="65">
        <v>0</v>
      </c>
      <c r="S165" s="65">
        <v>22</v>
      </c>
      <c r="T165" s="65">
        <f t="shared" si="45"/>
        <v>7230.9900000000007</v>
      </c>
      <c r="U165" s="65">
        <v>480.84999999999997</v>
      </c>
      <c r="V165" s="65">
        <v>23.62</v>
      </c>
      <c r="W165" s="65">
        <v>258.83999999999997</v>
      </c>
      <c r="X165" s="65">
        <v>6277.56</v>
      </c>
      <c r="Y165" s="65">
        <v>190.12</v>
      </c>
      <c r="Z165" s="65">
        <f t="shared" si="46"/>
        <v>30</v>
      </c>
      <c r="AA165" s="65">
        <f t="shared" si="47"/>
        <v>8807.6200000000008</v>
      </c>
      <c r="AB165" s="65">
        <f t="shared" si="48"/>
        <v>634.91</v>
      </c>
      <c r="AC165" s="65">
        <f t="shared" si="49"/>
        <v>23.62</v>
      </c>
      <c r="AD165" s="65">
        <f t="shared" si="50"/>
        <v>286.60999999999996</v>
      </c>
      <c r="AE165" s="65">
        <f t="shared" si="51"/>
        <v>7634.72</v>
      </c>
      <c r="AF165" s="65">
        <f t="shared" si="52"/>
        <v>227.76</v>
      </c>
      <c r="AG165" s="65">
        <f t="shared" si="53"/>
        <v>30</v>
      </c>
      <c r="AH165" s="65">
        <f t="shared" si="54"/>
        <v>8807.6200000000008</v>
      </c>
      <c r="AI165" s="65">
        <v>0</v>
      </c>
      <c r="AJ165" s="65">
        <v>0</v>
      </c>
      <c r="AK165" s="65">
        <v>0</v>
      </c>
      <c r="AL165" s="65">
        <v>0</v>
      </c>
      <c r="AM165" s="65"/>
      <c r="AN165" s="65">
        <f t="shared" si="41"/>
        <v>30</v>
      </c>
      <c r="AO165" s="65">
        <f t="shared" si="42"/>
        <v>8807.6200000000008</v>
      </c>
      <c r="AP165" s="65">
        <f t="shared" si="55"/>
        <v>293.58733333333333</v>
      </c>
    </row>
    <row r="166" spans="1:42" s="57" customFormat="1">
      <c r="A166" s="132" t="s">
        <v>143</v>
      </c>
      <c r="B166" s="161" t="s">
        <v>212</v>
      </c>
      <c r="C166" s="161" t="s">
        <v>335</v>
      </c>
      <c r="D166" s="159"/>
      <c r="E166" s="65">
        <v>5427</v>
      </c>
      <c r="F166" s="65">
        <f t="shared" si="43"/>
        <v>1960571.37</v>
      </c>
      <c r="G166" s="65">
        <v>252066.41</v>
      </c>
      <c r="H166" s="65">
        <v>2314.54</v>
      </c>
      <c r="I166" s="65">
        <v>17460.669999999998</v>
      </c>
      <c r="J166" s="65">
        <v>1669915.6500000001</v>
      </c>
      <c r="K166" s="65">
        <v>18814.099999999999</v>
      </c>
      <c r="L166" s="65">
        <v>15</v>
      </c>
      <c r="M166" s="65">
        <f t="shared" si="44"/>
        <v>29283.969999999998</v>
      </c>
      <c r="N166" s="65">
        <v>69.37</v>
      </c>
      <c r="O166" s="65">
        <v>0</v>
      </c>
      <c r="P166" s="65">
        <v>16.369999999999997</v>
      </c>
      <c r="Q166" s="65">
        <v>29198.229999999996</v>
      </c>
      <c r="R166" s="65">
        <v>0</v>
      </c>
      <c r="S166" s="65">
        <v>404</v>
      </c>
      <c r="T166" s="65">
        <f t="shared" si="45"/>
        <v>254750.17000000004</v>
      </c>
      <c r="U166" s="65">
        <v>32139.24</v>
      </c>
      <c r="V166" s="65">
        <v>6713.61</v>
      </c>
      <c r="W166" s="65">
        <v>73634.100000000006</v>
      </c>
      <c r="X166" s="65">
        <v>123993.52</v>
      </c>
      <c r="Y166" s="65">
        <v>18269.7</v>
      </c>
      <c r="Z166" s="65">
        <f t="shared" si="46"/>
        <v>5846</v>
      </c>
      <c r="AA166" s="65">
        <f t="shared" si="47"/>
        <v>2244605.5100000002</v>
      </c>
      <c r="AB166" s="65">
        <f t="shared" si="48"/>
        <v>284275.02</v>
      </c>
      <c r="AC166" s="65">
        <f t="shared" si="49"/>
        <v>9028.15</v>
      </c>
      <c r="AD166" s="65">
        <f t="shared" si="50"/>
        <v>91111.14</v>
      </c>
      <c r="AE166" s="65">
        <f t="shared" si="51"/>
        <v>1823107.4000000001</v>
      </c>
      <c r="AF166" s="65">
        <f t="shared" si="52"/>
        <v>37083.800000000003</v>
      </c>
      <c r="AG166" s="65">
        <f t="shared" si="53"/>
        <v>5846</v>
      </c>
      <c r="AH166" s="65">
        <f t="shared" si="54"/>
        <v>2244605.5100000002</v>
      </c>
      <c r="AI166" s="65">
        <v>0</v>
      </c>
      <c r="AJ166" s="65">
        <v>0</v>
      </c>
      <c r="AK166" s="65">
        <v>0</v>
      </c>
      <c r="AL166" s="65">
        <v>0</v>
      </c>
      <c r="AM166" s="65"/>
      <c r="AN166" s="65">
        <f t="shared" si="41"/>
        <v>5846</v>
      </c>
      <c r="AO166" s="65">
        <f t="shared" si="42"/>
        <v>2244605.5100000002</v>
      </c>
      <c r="AP166" s="65">
        <f t="shared" si="55"/>
        <v>383.95578344166955</v>
      </c>
    </row>
    <row r="167" spans="1:42" s="57" customFormat="1">
      <c r="A167" s="86" t="s">
        <v>170</v>
      </c>
      <c r="B167" s="158" t="s">
        <v>212</v>
      </c>
      <c r="C167" s="161" t="s">
        <v>335</v>
      </c>
      <c r="D167" s="159"/>
      <c r="E167" s="65">
        <v>1</v>
      </c>
      <c r="F167" s="65">
        <f t="shared" si="43"/>
        <v>76.3</v>
      </c>
      <c r="G167" s="65">
        <v>76.3</v>
      </c>
      <c r="H167" s="65">
        <v>0</v>
      </c>
      <c r="I167" s="65">
        <v>0</v>
      </c>
      <c r="J167" s="65">
        <v>0</v>
      </c>
      <c r="K167" s="65">
        <v>0</v>
      </c>
      <c r="L167" s="65">
        <v>0</v>
      </c>
      <c r="M167" s="65">
        <f t="shared" si="44"/>
        <v>0</v>
      </c>
      <c r="N167" s="65">
        <v>0</v>
      </c>
      <c r="O167" s="65">
        <v>0</v>
      </c>
      <c r="P167" s="65">
        <v>0</v>
      </c>
      <c r="Q167" s="65">
        <v>0</v>
      </c>
      <c r="R167" s="65">
        <v>0</v>
      </c>
      <c r="S167" s="65">
        <v>0</v>
      </c>
      <c r="T167" s="65">
        <f t="shared" si="45"/>
        <v>0</v>
      </c>
      <c r="U167" s="65">
        <v>0</v>
      </c>
      <c r="V167" s="65">
        <v>0</v>
      </c>
      <c r="W167" s="65">
        <v>0</v>
      </c>
      <c r="X167" s="65">
        <v>0</v>
      </c>
      <c r="Y167" s="65">
        <v>0</v>
      </c>
      <c r="Z167" s="65">
        <f t="shared" si="46"/>
        <v>1</v>
      </c>
      <c r="AA167" s="65">
        <f t="shared" si="47"/>
        <v>76.3</v>
      </c>
      <c r="AB167" s="65">
        <f t="shared" si="48"/>
        <v>76.3</v>
      </c>
      <c r="AC167" s="65">
        <f t="shared" si="49"/>
        <v>0</v>
      </c>
      <c r="AD167" s="65">
        <f t="shared" si="50"/>
        <v>0</v>
      </c>
      <c r="AE167" s="65">
        <f t="shared" si="51"/>
        <v>0</v>
      </c>
      <c r="AF167" s="65">
        <f t="shared" si="52"/>
        <v>0</v>
      </c>
      <c r="AG167" s="65">
        <f t="shared" si="53"/>
        <v>1</v>
      </c>
      <c r="AH167" s="65">
        <f t="shared" si="54"/>
        <v>76.3</v>
      </c>
      <c r="AI167" s="65">
        <v>0</v>
      </c>
      <c r="AJ167" s="65">
        <v>0</v>
      </c>
      <c r="AK167" s="65">
        <v>0</v>
      </c>
      <c r="AL167" s="65">
        <v>0</v>
      </c>
      <c r="AM167" s="65"/>
      <c r="AN167" s="65">
        <f t="shared" si="41"/>
        <v>1</v>
      </c>
      <c r="AO167" s="65">
        <f t="shared" si="42"/>
        <v>76.3</v>
      </c>
      <c r="AP167" s="65">
        <f t="shared" si="55"/>
        <v>76.3</v>
      </c>
    </row>
    <row r="168" spans="1:42" s="57" customFormat="1">
      <c r="A168" s="86" t="s">
        <v>144</v>
      </c>
      <c r="B168" s="158" t="s">
        <v>209</v>
      </c>
      <c r="C168" s="161" t="s">
        <v>336</v>
      </c>
      <c r="D168" s="159" t="s">
        <v>174</v>
      </c>
      <c r="E168" s="65">
        <v>190</v>
      </c>
      <c r="F168" s="65">
        <f t="shared" si="43"/>
        <v>53498.83</v>
      </c>
      <c r="G168" s="65">
        <v>4431.47</v>
      </c>
      <c r="H168" s="65">
        <v>35.08</v>
      </c>
      <c r="I168" s="65">
        <v>368.53999999999996</v>
      </c>
      <c r="J168" s="65">
        <v>46943.180000000008</v>
      </c>
      <c r="K168" s="65">
        <v>1720.5600000000002</v>
      </c>
      <c r="L168" s="65">
        <v>6</v>
      </c>
      <c r="M168" s="65">
        <f t="shared" si="44"/>
        <v>18658.150000000001</v>
      </c>
      <c r="N168" s="65">
        <v>0</v>
      </c>
      <c r="O168" s="65">
        <v>0</v>
      </c>
      <c r="P168" s="65">
        <v>0</v>
      </c>
      <c r="Q168" s="65">
        <v>18658.150000000001</v>
      </c>
      <c r="R168" s="65">
        <v>0</v>
      </c>
      <c r="S168" s="65">
        <v>153</v>
      </c>
      <c r="T168" s="65">
        <f t="shared" si="45"/>
        <v>22050.47</v>
      </c>
      <c r="U168" s="65">
        <v>8355.74</v>
      </c>
      <c r="V168" s="65">
        <v>700.86</v>
      </c>
      <c r="W168" s="65">
        <v>3856.92</v>
      </c>
      <c r="X168" s="65">
        <v>4826.2</v>
      </c>
      <c r="Y168" s="65">
        <v>4310.75</v>
      </c>
      <c r="Z168" s="65">
        <f t="shared" si="46"/>
        <v>349</v>
      </c>
      <c r="AA168" s="65">
        <f t="shared" si="47"/>
        <v>94207.450000000012</v>
      </c>
      <c r="AB168" s="65">
        <f t="shared" si="48"/>
        <v>12787.21</v>
      </c>
      <c r="AC168" s="65">
        <f t="shared" si="49"/>
        <v>735.94</v>
      </c>
      <c r="AD168" s="65">
        <f t="shared" si="50"/>
        <v>4225.46</v>
      </c>
      <c r="AE168" s="65">
        <f t="shared" si="51"/>
        <v>70427.530000000013</v>
      </c>
      <c r="AF168" s="65">
        <f t="shared" si="52"/>
        <v>6031.31</v>
      </c>
      <c r="AG168" s="65">
        <f t="shared" si="53"/>
        <v>349</v>
      </c>
      <c r="AH168" s="65">
        <f t="shared" si="54"/>
        <v>94207.450000000012</v>
      </c>
      <c r="AI168" s="65">
        <v>0</v>
      </c>
      <c r="AJ168" s="65">
        <v>0</v>
      </c>
      <c r="AK168" s="65">
        <v>0</v>
      </c>
      <c r="AL168" s="65">
        <v>0</v>
      </c>
      <c r="AM168" s="65"/>
      <c r="AN168" s="65">
        <f t="shared" si="41"/>
        <v>349</v>
      </c>
      <c r="AO168" s="65">
        <f t="shared" si="42"/>
        <v>94207.450000000012</v>
      </c>
      <c r="AP168" s="65">
        <f t="shared" si="55"/>
        <v>269.93538681948428</v>
      </c>
    </row>
    <row r="169" spans="1:42" s="57" customFormat="1">
      <c r="A169" s="132" t="s">
        <v>316</v>
      </c>
      <c r="B169" s="158" t="s">
        <v>211</v>
      </c>
      <c r="C169" s="161" t="s">
        <v>335</v>
      </c>
      <c r="D169" s="159"/>
      <c r="E169" s="65">
        <v>18</v>
      </c>
      <c r="F169" s="65">
        <f t="shared" si="43"/>
        <v>16537.170000000002</v>
      </c>
      <c r="G169" s="65">
        <v>380.38</v>
      </c>
      <c r="H169" s="65">
        <v>68.19</v>
      </c>
      <c r="I169" s="65">
        <v>96.7</v>
      </c>
      <c r="J169" s="65">
        <v>15930.77</v>
      </c>
      <c r="K169" s="65">
        <v>61.13</v>
      </c>
      <c r="L169" s="65">
        <v>0</v>
      </c>
      <c r="M169" s="65">
        <f t="shared" si="44"/>
        <v>0</v>
      </c>
      <c r="N169" s="65">
        <v>0</v>
      </c>
      <c r="O169" s="65">
        <v>0</v>
      </c>
      <c r="P169" s="65">
        <v>0</v>
      </c>
      <c r="Q169" s="65">
        <v>0</v>
      </c>
      <c r="R169" s="65">
        <v>0</v>
      </c>
      <c r="S169" s="65">
        <v>2</v>
      </c>
      <c r="T169" s="65">
        <f t="shared" si="45"/>
        <v>118.54</v>
      </c>
      <c r="U169" s="65">
        <v>99.79</v>
      </c>
      <c r="V169" s="65">
        <v>0</v>
      </c>
      <c r="W169" s="65">
        <v>18.75</v>
      </c>
      <c r="X169" s="65">
        <v>0</v>
      </c>
      <c r="Y169" s="65">
        <v>0</v>
      </c>
      <c r="Z169" s="65">
        <f t="shared" si="46"/>
        <v>20</v>
      </c>
      <c r="AA169" s="65">
        <f t="shared" si="47"/>
        <v>16655.710000000003</v>
      </c>
      <c r="AB169" s="65">
        <f t="shared" si="48"/>
        <v>480.17</v>
      </c>
      <c r="AC169" s="65">
        <f t="shared" si="49"/>
        <v>68.19</v>
      </c>
      <c r="AD169" s="65">
        <f t="shared" si="50"/>
        <v>115.45</v>
      </c>
      <c r="AE169" s="65">
        <f t="shared" si="51"/>
        <v>15930.77</v>
      </c>
      <c r="AF169" s="65">
        <f t="shared" si="52"/>
        <v>61.13</v>
      </c>
      <c r="AG169" s="65">
        <f t="shared" si="53"/>
        <v>20</v>
      </c>
      <c r="AH169" s="65">
        <f t="shared" si="54"/>
        <v>16655.710000000003</v>
      </c>
      <c r="AI169" s="65">
        <v>0</v>
      </c>
      <c r="AJ169" s="65">
        <v>0</v>
      </c>
      <c r="AK169" s="65">
        <v>0</v>
      </c>
      <c r="AL169" s="65">
        <v>0</v>
      </c>
      <c r="AM169" s="65"/>
      <c r="AN169" s="65">
        <f t="shared" si="41"/>
        <v>20</v>
      </c>
      <c r="AO169" s="65">
        <f t="shared" si="42"/>
        <v>16655.710000000003</v>
      </c>
      <c r="AP169" s="65">
        <f t="shared" si="55"/>
        <v>832.78550000000018</v>
      </c>
    </row>
    <row r="170" spans="1:42" s="57" customFormat="1">
      <c r="A170" s="132" t="s">
        <v>317</v>
      </c>
      <c r="B170" s="161" t="s">
        <v>213</v>
      </c>
      <c r="C170" s="161" t="s">
        <v>335</v>
      </c>
      <c r="D170" s="159"/>
      <c r="E170" s="65">
        <v>3</v>
      </c>
      <c r="F170" s="65">
        <f t="shared" si="43"/>
        <v>548.38</v>
      </c>
      <c r="G170" s="65">
        <v>4.3600000000000003</v>
      </c>
      <c r="H170" s="65">
        <v>52.26</v>
      </c>
      <c r="I170" s="65">
        <v>7.37</v>
      </c>
      <c r="J170" s="65">
        <v>484.39</v>
      </c>
      <c r="K170" s="65">
        <v>0</v>
      </c>
      <c r="L170" s="65">
        <v>0</v>
      </c>
      <c r="M170" s="65">
        <f t="shared" si="44"/>
        <v>0</v>
      </c>
      <c r="N170" s="65">
        <v>0</v>
      </c>
      <c r="O170" s="65">
        <v>0</v>
      </c>
      <c r="P170" s="65">
        <v>0</v>
      </c>
      <c r="Q170" s="65">
        <v>0</v>
      </c>
      <c r="R170" s="65">
        <v>0</v>
      </c>
      <c r="S170" s="65">
        <v>0</v>
      </c>
      <c r="T170" s="65">
        <f t="shared" si="45"/>
        <v>0</v>
      </c>
      <c r="U170" s="65">
        <v>0</v>
      </c>
      <c r="V170" s="65">
        <v>0</v>
      </c>
      <c r="W170" s="65">
        <v>0</v>
      </c>
      <c r="X170" s="65">
        <v>0</v>
      </c>
      <c r="Y170" s="65">
        <v>0</v>
      </c>
      <c r="Z170" s="65">
        <f t="shared" si="46"/>
        <v>3</v>
      </c>
      <c r="AA170" s="65">
        <f t="shared" si="47"/>
        <v>548.38</v>
      </c>
      <c r="AB170" s="65">
        <f t="shared" si="48"/>
        <v>4.3600000000000003</v>
      </c>
      <c r="AC170" s="65">
        <f t="shared" si="49"/>
        <v>52.26</v>
      </c>
      <c r="AD170" s="65">
        <f t="shared" si="50"/>
        <v>7.37</v>
      </c>
      <c r="AE170" s="65">
        <f t="shared" si="51"/>
        <v>484.39</v>
      </c>
      <c r="AF170" s="65">
        <f t="shared" si="52"/>
        <v>0</v>
      </c>
      <c r="AG170" s="65">
        <f t="shared" si="53"/>
        <v>3</v>
      </c>
      <c r="AH170" s="65">
        <f t="shared" si="54"/>
        <v>548.38</v>
      </c>
      <c r="AI170" s="65">
        <v>0</v>
      </c>
      <c r="AJ170" s="65">
        <v>0</v>
      </c>
      <c r="AK170" s="65">
        <v>0</v>
      </c>
      <c r="AL170" s="65">
        <v>0</v>
      </c>
      <c r="AM170" s="65"/>
      <c r="AN170" s="65">
        <f t="shared" si="41"/>
        <v>3</v>
      </c>
      <c r="AO170" s="65">
        <f t="shared" si="42"/>
        <v>548.38</v>
      </c>
      <c r="AP170" s="65">
        <f t="shared" si="55"/>
        <v>182.79333333333332</v>
      </c>
    </row>
    <row r="171" spans="1:42" s="57" customFormat="1">
      <c r="A171" s="132" t="s">
        <v>318</v>
      </c>
      <c r="B171" s="161" t="s">
        <v>211</v>
      </c>
      <c r="C171" s="161" t="s">
        <v>335</v>
      </c>
      <c r="D171" s="159"/>
      <c r="E171" s="65">
        <v>31</v>
      </c>
      <c r="F171" s="65">
        <f t="shared" si="43"/>
        <v>4437.4399999999996</v>
      </c>
      <c r="G171" s="65">
        <v>1213.1299999999999</v>
      </c>
      <c r="H171" s="65">
        <v>0</v>
      </c>
      <c r="I171" s="65">
        <v>31.02</v>
      </c>
      <c r="J171" s="65">
        <v>3193.29</v>
      </c>
      <c r="K171" s="65">
        <v>0</v>
      </c>
      <c r="L171" s="65">
        <v>0</v>
      </c>
      <c r="M171" s="65">
        <f t="shared" si="44"/>
        <v>0</v>
      </c>
      <c r="N171" s="65">
        <v>0</v>
      </c>
      <c r="O171" s="65">
        <v>0</v>
      </c>
      <c r="P171" s="65">
        <v>0</v>
      </c>
      <c r="Q171" s="65">
        <v>0</v>
      </c>
      <c r="R171" s="65">
        <v>0</v>
      </c>
      <c r="S171" s="65">
        <v>1</v>
      </c>
      <c r="T171" s="65">
        <f t="shared" si="45"/>
        <v>22.74</v>
      </c>
      <c r="U171" s="65">
        <v>22.74</v>
      </c>
      <c r="V171" s="65">
        <v>0</v>
      </c>
      <c r="W171" s="65">
        <v>0</v>
      </c>
      <c r="X171" s="65">
        <v>0</v>
      </c>
      <c r="Y171" s="65">
        <v>0</v>
      </c>
      <c r="Z171" s="65">
        <f t="shared" si="46"/>
        <v>32</v>
      </c>
      <c r="AA171" s="65">
        <f t="shared" si="47"/>
        <v>4460.1799999999994</v>
      </c>
      <c r="AB171" s="65">
        <f t="shared" si="48"/>
        <v>1235.8699999999999</v>
      </c>
      <c r="AC171" s="65">
        <f t="shared" si="49"/>
        <v>0</v>
      </c>
      <c r="AD171" s="65">
        <f t="shared" si="50"/>
        <v>31.02</v>
      </c>
      <c r="AE171" s="65">
        <f t="shared" si="51"/>
        <v>3193.29</v>
      </c>
      <c r="AF171" s="65">
        <f t="shared" si="52"/>
        <v>0</v>
      </c>
      <c r="AG171" s="65">
        <f t="shared" si="53"/>
        <v>32</v>
      </c>
      <c r="AH171" s="65">
        <f t="shared" si="54"/>
        <v>4460.1799999999994</v>
      </c>
      <c r="AI171" s="65">
        <v>0</v>
      </c>
      <c r="AJ171" s="65">
        <v>0</v>
      </c>
      <c r="AK171" s="65">
        <v>0</v>
      </c>
      <c r="AL171" s="65">
        <v>0</v>
      </c>
      <c r="AM171" s="65"/>
      <c r="AN171" s="65">
        <f t="shared" si="41"/>
        <v>32</v>
      </c>
      <c r="AO171" s="65">
        <f t="shared" si="42"/>
        <v>4460.1799999999994</v>
      </c>
      <c r="AP171" s="65">
        <f t="shared" si="55"/>
        <v>139.38062499999998</v>
      </c>
    </row>
    <row r="172" spans="1:42" s="57" customFormat="1">
      <c r="A172" s="132" t="s">
        <v>319</v>
      </c>
      <c r="B172" s="208" t="s">
        <v>211</v>
      </c>
      <c r="C172" s="161" t="s">
        <v>335</v>
      </c>
      <c r="D172" s="159"/>
      <c r="E172" s="65">
        <v>28</v>
      </c>
      <c r="F172" s="65">
        <f t="shared" si="43"/>
        <v>2264.62</v>
      </c>
      <c r="G172" s="65">
        <v>1784.54</v>
      </c>
      <c r="H172" s="65">
        <v>0</v>
      </c>
      <c r="I172" s="65">
        <v>240.1</v>
      </c>
      <c r="J172" s="65">
        <v>208.79</v>
      </c>
      <c r="K172" s="65">
        <v>31.19</v>
      </c>
      <c r="L172" s="65">
        <v>0</v>
      </c>
      <c r="M172" s="65">
        <f t="shared" si="44"/>
        <v>0</v>
      </c>
      <c r="N172" s="65">
        <v>0</v>
      </c>
      <c r="O172" s="65">
        <v>0</v>
      </c>
      <c r="P172" s="65">
        <v>0</v>
      </c>
      <c r="Q172" s="65">
        <v>0</v>
      </c>
      <c r="R172" s="65">
        <v>0</v>
      </c>
      <c r="S172" s="65">
        <v>0</v>
      </c>
      <c r="T172" s="65">
        <f t="shared" si="45"/>
        <v>0</v>
      </c>
      <c r="U172" s="65">
        <v>0</v>
      </c>
      <c r="V172" s="65">
        <v>0</v>
      </c>
      <c r="W172" s="65">
        <v>0</v>
      </c>
      <c r="X172" s="65">
        <v>0</v>
      </c>
      <c r="Y172" s="65">
        <v>0</v>
      </c>
      <c r="Z172" s="65">
        <f t="shared" si="46"/>
        <v>28</v>
      </c>
      <c r="AA172" s="65">
        <f t="shared" si="47"/>
        <v>2264.62</v>
      </c>
      <c r="AB172" s="65">
        <f t="shared" si="48"/>
        <v>1784.54</v>
      </c>
      <c r="AC172" s="65">
        <f t="shared" si="49"/>
        <v>0</v>
      </c>
      <c r="AD172" s="65">
        <f t="shared" si="50"/>
        <v>240.1</v>
      </c>
      <c r="AE172" s="65">
        <f t="shared" si="51"/>
        <v>208.79</v>
      </c>
      <c r="AF172" s="65">
        <f t="shared" si="52"/>
        <v>31.19</v>
      </c>
      <c r="AG172" s="65">
        <f t="shared" si="53"/>
        <v>28</v>
      </c>
      <c r="AH172" s="65">
        <f t="shared" si="54"/>
        <v>2264.62</v>
      </c>
      <c r="AI172" s="65">
        <v>0</v>
      </c>
      <c r="AJ172" s="65">
        <v>0</v>
      </c>
      <c r="AK172" s="65">
        <v>0</v>
      </c>
      <c r="AL172" s="65">
        <v>0</v>
      </c>
      <c r="AM172" s="65"/>
      <c r="AN172" s="65">
        <f t="shared" si="41"/>
        <v>28</v>
      </c>
      <c r="AO172" s="65">
        <f t="shared" si="42"/>
        <v>2264.62</v>
      </c>
      <c r="AP172" s="65">
        <f t="shared" si="55"/>
        <v>80.879285714285714</v>
      </c>
    </row>
    <row r="173" spans="1:42" s="57" customFormat="1">
      <c r="A173" s="132" t="s">
        <v>320</v>
      </c>
      <c r="B173" s="208" t="s">
        <v>211</v>
      </c>
      <c r="C173" s="161" t="s">
        <v>335</v>
      </c>
      <c r="D173" s="159"/>
      <c r="E173" s="205">
        <v>4</v>
      </c>
      <c r="F173" s="65">
        <f t="shared" si="43"/>
        <v>1257.1600000000001</v>
      </c>
      <c r="G173" s="205">
        <v>162.98999999999998</v>
      </c>
      <c r="H173" s="65">
        <v>0</v>
      </c>
      <c r="I173" s="206">
        <v>0</v>
      </c>
      <c r="J173" s="206">
        <v>706.51</v>
      </c>
      <c r="K173" s="207">
        <v>387.66</v>
      </c>
      <c r="L173" s="205">
        <v>0</v>
      </c>
      <c r="M173" s="65">
        <f t="shared" si="44"/>
        <v>0</v>
      </c>
      <c r="N173" s="65">
        <v>0</v>
      </c>
      <c r="O173" s="65">
        <v>0</v>
      </c>
      <c r="P173" s="65">
        <v>0</v>
      </c>
      <c r="Q173" s="65">
        <v>0</v>
      </c>
      <c r="R173" s="65">
        <v>0</v>
      </c>
      <c r="S173" s="205">
        <v>0</v>
      </c>
      <c r="T173" s="65">
        <f t="shared" si="45"/>
        <v>0</v>
      </c>
      <c r="U173" s="65">
        <v>0</v>
      </c>
      <c r="V173" s="65">
        <v>0</v>
      </c>
      <c r="W173" s="65">
        <v>0</v>
      </c>
      <c r="X173" s="65">
        <v>0</v>
      </c>
      <c r="Y173" s="65">
        <v>0</v>
      </c>
      <c r="Z173" s="65">
        <f t="shared" si="46"/>
        <v>4</v>
      </c>
      <c r="AA173" s="65">
        <f t="shared" si="47"/>
        <v>1257.1600000000001</v>
      </c>
      <c r="AB173" s="65">
        <f t="shared" si="48"/>
        <v>162.98999999999998</v>
      </c>
      <c r="AC173" s="65">
        <f t="shared" si="49"/>
        <v>0</v>
      </c>
      <c r="AD173" s="65">
        <f t="shared" si="50"/>
        <v>0</v>
      </c>
      <c r="AE173" s="65">
        <f t="shared" si="51"/>
        <v>706.51</v>
      </c>
      <c r="AF173" s="65">
        <f t="shared" si="52"/>
        <v>387.66</v>
      </c>
      <c r="AG173" s="65">
        <f t="shared" si="53"/>
        <v>4</v>
      </c>
      <c r="AH173" s="65">
        <f t="shared" si="54"/>
        <v>1257.1600000000001</v>
      </c>
      <c r="AI173" s="65">
        <v>0</v>
      </c>
      <c r="AJ173" s="65">
        <v>0</v>
      </c>
      <c r="AK173" s="65">
        <v>0</v>
      </c>
      <c r="AL173" s="65">
        <v>0</v>
      </c>
      <c r="AM173" s="65"/>
      <c r="AN173" s="65">
        <f t="shared" si="41"/>
        <v>4</v>
      </c>
      <c r="AO173" s="65">
        <f t="shared" si="42"/>
        <v>1257.1600000000001</v>
      </c>
      <c r="AP173" s="65">
        <f t="shared" si="55"/>
        <v>314.29000000000002</v>
      </c>
    </row>
    <row r="174" spans="1:42" s="57" customFormat="1">
      <c r="A174" s="132" t="s">
        <v>321</v>
      </c>
      <c r="B174" s="208" t="s">
        <v>212</v>
      </c>
      <c r="C174" s="161" t="s">
        <v>335</v>
      </c>
      <c r="D174" s="159"/>
      <c r="E174" s="205">
        <v>1</v>
      </c>
      <c r="F174" s="65">
        <f t="shared" si="43"/>
        <v>184.59</v>
      </c>
      <c r="G174" s="205">
        <v>184.59</v>
      </c>
      <c r="H174" s="65">
        <v>0</v>
      </c>
      <c r="I174" s="206">
        <v>0</v>
      </c>
      <c r="J174" s="206">
        <v>0</v>
      </c>
      <c r="K174" s="207">
        <v>0</v>
      </c>
      <c r="L174" s="205">
        <v>0</v>
      </c>
      <c r="M174" s="65">
        <f t="shared" si="44"/>
        <v>0</v>
      </c>
      <c r="N174" s="65">
        <v>0</v>
      </c>
      <c r="O174" s="65">
        <v>0</v>
      </c>
      <c r="P174" s="65">
        <v>0</v>
      </c>
      <c r="Q174" s="65">
        <v>0</v>
      </c>
      <c r="R174" s="65">
        <v>0</v>
      </c>
      <c r="S174" s="205">
        <v>0</v>
      </c>
      <c r="T174" s="65">
        <f t="shared" si="45"/>
        <v>0</v>
      </c>
      <c r="U174" s="65">
        <v>0</v>
      </c>
      <c r="V174" s="65">
        <v>0</v>
      </c>
      <c r="W174" s="65">
        <v>0</v>
      </c>
      <c r="X174" s="65">
        <v>0</v>
      </c>
      <c r="Y174" s="65">
        <v>0</v>
      </c>
      <c r="Z174" s="65">
        <f t="shared" si="46"/>
        <v>1</v>
      </c>
      <c r="AA174" s="65">
        <f t="shared" si="47"/>
        <v>184.59</v>
      </c>
      <c r="AB174" s="65">
        <f t="shared" si="48"/>
        <v>184.59</v>
      </c>
      <c r="AC174" s="65">
        <f t="shared" si="49"/>
        <v>0</v>
      </c>
      <c r="AD174" s="65">
        <f t="shared" si="50"/>
        <v>0</v>
      </c>
      <c r="AE174" s="65">
        <f t="shared" si="51"/>
        <v>0</v>
      </c>
      <c r="AF174" s="65">
        <f t="shared" si="52"/>
        <v>0</v>
      </c>
      <c r="AG174" s="65">
        <f t="shared" si="53"/>
        <v>1</v>
      </c>
      <c r="AH174" s="65">
        <f t="shared" si="54"/>
        <v>184.59</v>
      </c>
      <c r="AI174" s="65">
        <v>0</v>
      </c>
      <c r="AJ174" s="65">
        <v>0</v>
      </c>
      <c r="AK174" s="65">
        <v>0</v>
      </c>
      <c r="AL174" s="65">
        <v>0</v>
      </c>
      <c r="AM174" s="65"/>
      <c r="AN174" s="65">
        <f t="shared" si="41"/>
        <v>1</v>
      </c>
      <c r="AO174" s="65">
        <f t="shared" si="42"/>
        <v>184.59</v>
      </c>
      <c r="AP174" s="65">
        <f t="shared" si="55"/>
        <v>184.59</v>
      </c>
    </row>
    <row r="175" spans="1:42" s="57" customFormat="1">
      <c r="A175" s="132" t="s">
        <v>322</v>
      </c>
      <c r="B175" s="208" t="s">
        <v>213</v>
      </c>
      <c r="C175" s="161" t="s">
        <v>335</v>
      </c>
      <c r="D175" s="86"/>
      <c r="E175" s="121">
        <v>0</v>
      </c>
      <c r="F175" s="65">
        <f t="shared" si="43"/>
        <v>0</v>
      </c>
      <c r="G175" s="202">
        <v>0</v>
      </c>
      <c r="H175" s="65">
        <v>0</v>
      </c>
      <c r="I175" s="203">
        <v>0</v>
      </c>
      <c r="J175" s="203">
        <v>0</v>
      </c>
      <c r="K175" s="204">
        <v>0</v>
      </c>
      <c r="L175" s="121">
        <v>0</v>
      </c>
      <c r="M175" s="65">
        <f t="shared" si="44"/>
        <v>0</v>
      </c>
      <c r="N175" s="65">
        <v>0</v>
      </c>
      <c r="O175" s="65">
        <v>0</v>
      </c>
      <c r="P175" s="65">
        <v>0</v>
      </c>
      <c r="Q175" s="65">
        <v>0</v>
      </c>
      <c r="R175" s="65">
        <v>0</v>
      </c>
      <c r="S175" s="128">
        <v>0</v>
      </c>
      <c r="T175" s="65">
        <f t="shared" si="45"/>
        <v>0</v>
      </c>
      <c r="U175" s="65">
        <v>0</v>
      </c>
      <c r="V175" s="65">
        <v>0</v>
      </c>
      <c r="W175" s="65">
        <v>0</v>
      </c>
      <c r="X175" s="65">
        <v>0</v>
      </c>
      <c r="Y175" s="65">
        <v>0</v>
      </c>
      <c r="Z175" s="65">
        <f t="shared" si="46"/>
        <v>0</v>
      </c>
      <c r="AA175" s="65">
        <f t="shared" si="47"/>
        <v>0</v>
      </c>
      <c r="AB175" s="65">
        <f t="shared" si="48"/>
        <v>0</v>
      </c>
      <c r="AC175" s="65">
        <f t="shared" si="49"/>
        <v>0</v>
      </c>
      <c r="AD175" s="65">
        <f t="shared" si="50"/>
        <v>0</v>
      </c>
      <c r="AE175" s="65">
        <f t="shared" si="51"/>
        <v>0</v>
      </c>
      <c r="AF175" s="65">
        <f t="shared" si="52"/>
        <v>0</v>
      </c>
      <c r="AG175" s="65">
        <f t="shared" si="53"/>
        <v>0</v>
      </c>
      <c r="AH175" s="65">
        <f t="shared" si="54"/>
        <v>0</v>
      </c>
      <c r="AI175" s="65">
        <v>0</v>
      </c>
      <c r="AJ175" s="65">
        <v>0</v>
      </c>
      <c r="AK175" s="65">
        <v>0</v>
      </c>
      <c r="AL175" s="65">
        <v>0</v>
      </c>
      <c r="AM175" s="65"/>
      <c r="AN175" s="65">
        <f t="shared" si="41"/>
        <v>0</v>
      </c>
      <c r="AO175" s="65">
        <f t="shared" si="42"/>
        <v>0</v>
      </c>
      <c r="AP175" s="65" t="e">
        <f t="shared" si="55"/>
        <v>#DIV/0!</v>
      </c>
    </row>
    <row r="176" spans="1:42" s="57" customFormat="1">
      <c r="A176" s="132" t="s">
        <v>323</v>
      </c>
      <c r="B176" s="208" t="s">
        <v>211</v>
      </c>
      <c r="C176" s="161" t="s">
        <v>335</v>
      </c>
      <c r="D176" s="86"/>
      <c r="E176" s="121">
        <v>6</v>
      </c>
      <c r="F176" s="65">
        <f t="shared" si="43"/>
        <v>304.89999999999998</v>
      </c>
      <c r="G176" s="202">
        <v>304.89999999999998</v>
      </c>
      <c r="H176" s="65">
        <v>0</v>
      </c>
      <c r="I176" s="203">
        <v>0</v>
      </c>
      <c r="J176" s="203">
        <v>0</v>
      </c>
      <c r="K176" s="204">
        <v>0</v>
      </c>
      <c r="L176" s="121">
        <v>0</v>
      </c>
      <c r="M176" s="65">
        <f t="shared" si="44"/>
        <v>0</v>
      </c>
      <c r="N176" s="65">
        <v>0</v>
      </c>
      <c r="O176" s="65">
        <v>0</v>
      </c>
      <c r="P176" s="65">
        <v>0</v>
      </c>
      <c r="Q176" s="65">
        <v>0</v>
      </c>
      <c r="R176" s="65">
        <v>0</v>
      </c>
      <c r="S176" s="128">
        <v>1</v>
      </c>
      <c r="T176" s="65">
        <f t="shared" si="45"/>
        <v>36.340000000000003</v>
      </c>
      <c r="U176" s="65">
        <v>16.100000000000001</v>
      </c>
      <c r="V176" s="65">
        <v>20.239999999999998</v>
      </c>
      <c r="W176" s="65">
        <v>0</v>
      </c>
      <c r="X176" s="65">
        <v>0</v>
      </c>
      <c r="Y176" s="65">
        <v>0</v>
      </c>
      <c r="Z176" s="65">
        <f t="shared" si="46"/>
        <v>7</v>
      </c>
      <c r="AA176" s="65">
        <f t="shared" si="47"/>
        <v>341.24</v>
      </c>
      <c r="AB176" s="65">
        <f t="shared" si="48"/>
        <v>321</v>
      </c>
      <c r="AC176" s="65">
        <f t="shared" si="49"/>
        <v>20.239999999999998</v>
      </c>
      <c r="AD176" s="65">
        <f t="shared" si="50"/>
        <v>0</v>
      </c>
      <c r="AE176" s="65">
        <f t="shared" si="51"/>
        <v>0</v>
      </c>
      <c r="AF176" s="65">
        <f t="shared" si="52"/>
        <v>0</v>
      </c>
      <c r="AG176" s="65">
        <f t="shared" si="53"/>
        <v>7</v>
      </c>
      <c r="AH176" s="65">
        <f t="shared" si="54"/>
        <v>341.24</v>
      </c>
      <c r="AI176" s="65">
        <v>0</v>
      </c>
      <c r="AJ176" s="65">
        <v>0</v>
      </c>
      <c r="AK176" s="65">
        <v>0</v>
      </c>
      <c r="AL176" s="65">
        <v>0</v>
      </c>
      <c r="AM176" s="65"/>
      <c r="AN176" s="65">
        <f t="shared" si="41"/>
        <v>7</v>
      </c>
      <c r="AO176" s="65">
        <f t="shared" si="42"/>
        <v>341.24</v>
      </c>
      <c r="AP176" s="65">
        <f t="shared" si="55"/>
        <v>48.748571428571431</v>
      </c>
    </row>
    <row r="177" spans="1:43" s="57" customFormat="1">
      <c r="A177" s="86" t="s">
        <v>38</v>
      </c>
      <c r="B177" s="158" t="s">
        <v>209</v>
      </c>
      <c r="C177" s="161" t="s">
        <v>336</v>
      </c>
      <c r="D177" s="159" t="s">
        <v>174</v>
      </c>
      <c r="E177" s="65">
        <v>8815</v>
      </c>
      <c r="F177" s="65">
        <f t="shared" si="43"/>
        <v>1394820.14</v>
      </c>
      <c r="G177" s="65">
        <v>193286.77</v>
      </c>
      <c r="H177" s="65">
        <v>6611.86</v>
      </c>
      <c r="I177" s="65">
        <v>14410.9</v>
      </c>
      <c r="J177" s="65">
        <v>1152898.8999999999</v>
      </c>
      <c r="K177" s="65">
        <v>27611.710000000003</v>
      </c>
      <c r="L177" s="65">
        <v>327</v>
      </c>
      <c r="M177" s="65">
        <f t="shared" si="44"/>
        <v>1509039.12</v>
      </c>
      <c r="N177" s="65">
        <v>568.70000000000005</v>
      </c>
      <c r="O177" s="65">
        <v>23.41</v>
      </c>
      <c r="P177" s="65">
        <v>0</v>
      </c>
      <c r="Q177" s="65">
        <v>1506492.46</v>
      </c>
      <c r="R177" s="65">
        <v>1954.55</v>
      </c>
      <c r="S177" s="65">
        <v>1225</v>
      </c>
      <c r="T177" s="65">
        <f t="shared" si="45"/>
        <v>404820.38</v>
      </c>
      <c r="U177" s="65">
        <v>85026.260000000009</v>
      </c>
      <c r="V177" s="65">
        <v>20641.02</v>
      </c>
      <c r="W177" s="65">
        <v>88834.430000000008</v>
      </c>
      <c r="X177" s="65">
        <v>131096.16</v>
      </c>
      <c r="Y177" s="65">
        <v>79222.509999999995</v>
      </c>
      <c r="Z177" s="65">
        <f t="shared" si="46"/>
        <v>10367</v>
      </c>
      <c r="AA177" s="65">
        <f t="shared" si="47"/>
        <v>3308679.6399999997</v>
      </c>
      <c r="AB177" s="65">
        <f t="shared" si="48"/>
        <v>278881.73</v>
      </c>
      <c r="AC177" s="65">
        <f t="shared" si="49"/>
        <v>27276.29</v>
      </c>
      <c r="AD177" s="65">
        <f t="shared" si="50"/>
        <v>103245.33</v>
      </c>
      <c r="AE177" s="65">
        <f t="shared" si="51"/>
        <v>2790487.52</v>
      </c>
      <c r="AF177" s="65">
        <f t="shared" si="52"/>
        <v>108788.76999999999</v>
      </c>
      <c r="AG177" s="65">
        <f t="shared" si="53"/>
        <v>10367</v>
      </c>
      <c r="AH177" s="65">
        <f t="shared" si="54"/>
        <v>3308679.6399999997</v>
      </c>
      <c r="AI177" s="65">
        <v>29262</v>
      </c>
      <c r="AJ177" s="65">
        <v>6603734.6502603004</v>
      </c>
      <c r="AK177" s="65">
        <v>0</v>
      </c>
      <c r="AL177" s="65">
        <v>0</v>
      </c>
      <c r="AM177" s="65"/>
      <c r="AN177" s="65">
        <f t="shared" si="41"/>
        <v>39629</v>
      </c>
      <c r="AO177" s="65">
        <f t="shared" si="42"/>
        <v>9912414.2902603</v>
      </c>
      <c r="AP177" s="65">
        <f t="shared" si="55"/>
        <v>250.13031593682152</v>
      </c>
      <c r="AQ177" s="232"/>
    </row>
    <row r="178" spans="1:43" s="57" customFormat="1">
      <c r="A178" s="86" t="s">
        <v>171</v>
      </c>
      <c r="B178" s="158" t="s">
        <v>212</v>
      </c>
      <c r="C178" s="161" t="s">
        <v>335</v>
      </c>
      <c r="D178" s="159"/>
      <c r="E178" s="65">
        <v>2</v>
      </c>
      <c r="F178" s="65">
        <f t="shared" si="43"/>
        <v>87.58</v>
      </c>
      <c r="G178" s="65">
        <v>87.58</v>
      </c>
      <c r="H178" s="65">
        <v>0</v>
      </c>
      <c r="I178" s="65">
        <v>0</v>
      </c>
      <c r="J178" s="65">
        <v>0</v>
      </c>
      <c r="K178" s="65">
        <v>0</v>
      </c>
      <c r="L178" s="65">
        <v>0</v>
      </c>
      <c r="M178" s="65">
        <f t="shared" si="44"/>
        <v>0</v>
      </c>
      <c r="N178" s="65">
        <v>0</v>
      </c>
      <c r="O178" s="65">
        <v>0</v>
      </c>
      <c r="P178" s="65">
        <v>0</v>
      </c>
      <c r="Q178" s="65">
        <v>0</v>
      </c>
      <c r="R178" s="65">
        <v>0</v>
      </c>
      <c r="S178" s="65">
        <v>2</v>
      </c>
      <c r="T178" s="65">
        <f t="shared" si="45"/>
        <v>76.27</v>
      </c>
      <c r="U178" s="65">
        <v>39.1</v>
      </c>
      <c r="V178" s="65">
        <v>0</v>
      </c>
      <c r="W178" s="65">
        <v>15.84</v>
      </c>
      <c r="X178" s="65">
        <v>0</v>
      </c>
      <c r="Y178" s="65">
        <v>21.33</v>
      </c>
      <c r="Z178" s="65">
        <f t="shared" si="46"/>
        <v>4</v>
      </c>
      <c r="AA178" s="65">
        <f t="shared" si="47"/>
        <v>163.85</v>
      </c>
      <c r="AB178" s="65">
        <f t="shared" si="48"/>
        <v>126.68</v>
      </c>
      <c r="AC178" s="65">
        <f t="shared" si="49"/>
        <v>0</v>
      </c>
      <c r="AD178" s="65">
        <f t="shared" si="50"/>
        <v>15.84</v>
      </c>
      <c r="AE178" s="65">
        <f t="shared" si="51"/>
        <v>0</v>
      </c>
      <c r="AF178" s="65">
        <f t="shared" si="52"/>
        <v>21.33</v>
      </c>
      <c r="AG178" s="65">
        <f t="shared" si="53"/>
        <v>4</v>
      </c>
      <c r="AH178" s="65">
        <f t="shared" si="54"/>
        <v>163.85</v>
      </c>
      <c r="AI178" s="65">
        <v>0</v>
      </c>
      <c r="AJ178" s="65">
        <v>0</v>
      </c>
      <c r="AK178" s="65">
        <v>0</v>
      </c>
      <c r="AL178" s="65">
        <v>0</v>
      </c>
      <c r="AM178" s="65"/>
      <c r="AN178" s="65">
        <f t="shared" si="41"/>
        <v>4</v>
      </c>
      <c r="AO178" s="65">
        <f t="shared" si="42"/>
        <v>163.85</v>
      </c>
      <c r="AP178" s="65">
        <f t="shared" si="55"/>
        <v>40.962499999999999</v>
      </c>
    </row>
    <row r="179" spans="1:43" s="57" customFormat="1">
      <c r="A179" s="86" t="s">
        <v>145</v>
      </c>
      <c r="B179" s="158" t="s">
        <v>212</v>
      </c>
      <c r="C179" s="161" t="s">
        <v>336</v>
      </c>
      <c r="D179" s="159" t="s">
        <v>174</v>
      </c>
      <c r="E179" s="65">
        <v>9233</v>
      </c>
      <c r="F179" s="65">
        <f t="shared" si="43"/>
        <v>1054089.3099999998</v>
      </c>
      <c r="G179" s="65">
        <v>304679.26</v>
      </c>
      <c r="H179" s="65">
        <v>4753.54</v>
      </c>
      <c r="I179" s="65">
        <v>73664.510000000009</v>
      </c>
      <c r="J179" s="65">
        <v>648407.06999999995</v>
      </c>
      <c r="K179" s="65">
        <v>22584.93</v>
      </c>
      <c r="L179" s="65">
        <v>443</v>
      </c>
      <c r="M179" s="65">
        <f t="shared" si="44"/>
        <v>178839.38</v>
      </c>
      <c r="N179" s="65">
        <v>12051.66</v>
      </c>
      <c r="O179" s="65">
        <v>539.23</v>
      </c>
      <c r="P179" s="65">
        <v>6935.04</v>
      </c>
      <c r="Q179" s="65">
        <v>158191.88</v>
      </c>
      <c r="R179" s="65">
        <v>1121.57</v>
      </c>
      <c r="S179" s="65">
        <v>402</v>
      </c>
      <c r="T179" s="65">
        <f t="shared" si="45"/>
        <v>252274.34999999998</v>
      </c>
      <c r="U179" s="65">
        <v>25279.599999999999</v>
      </c>
      <c r="V179" s="65">
        <v>6125.5300000000007</v>
      </c>
      <c r="W179" s="65">
        <v>12177.109999999999</v>
      </c>
      <c r="X179" s="65">
        <v>132092</v>
      </c>
      <c r="Y179" s="65">
        <v>76600.109999999986</v>
      </c>
      <c r="Z179" s="65">
        <f t="shared" si="46"/>
        <v>10078</v>
      </c>
      <c r="AA179" s="65">
        <f t="shared" si="47"/>
        <v>1485203.04</v>
      </c>
      <c r="AB179" s="65">
        <f t="shared" si="48"/>
        <v>342010.51999999996</v>
      </c>
      <c r="AC179" s="65">
        <f t="shared" si="49"/>
        <v>11418.300000000001</v>
      </c>
      <c r="AD179" s="65">
        <f t="shared" si="50"/>
        <v>92776.66</v>
      </c>
      <c r="AE179" s="65">
        <f t="shared" si="51"/>
        <v>938690.95</v>
      </c>
      <c r="AF179" s="65">
        <f t="shared" si="52"/>
        <v>100306.60999999999</v>
      </c>
      <c r="AG179" s="65">
        <f t="shared" si="53"/>
        <v>10078</v>
      </c>
      <c r="AH179" s="65">
        <f t="shared" si="54"/>
        <v>1485203.04</v>
      </c>
      <c r="AI179" s="65">
        <v>24737</v>
      </c>
      <c r="AJ179" s="65">
        <v>7067708.5330256522</v>
      </c>
      <c r="AK179" s="65">
        <v>0</v>
      </c>
      <c r="AL179" s="65">
        <v>0</v>
      </c>
      <c r="AM179" s="65">
        <v>686785.92698800261</v>
      </c>
      <c r="AN179" s="65">
        <f t="shared" si="41"/>
        <v>34815</v>
      </c>
      <c r="AO179" s="65">
        <f t="shared" si="42"/>
        <v>8552911.5730256513</v>
      </c>
      <c r="AP179" s="65">
        <f t="shared" si="55"/>
        <v>245.66742993036482</v>
      </c>
      <c r="AQ179" s="232"/>
    </row>
    <row r="180" spans="1:43" s="57" customFormat="1">
      <c r="A180" s="132" t="s">
        <v>324</v>
      </c>
      <c r="B180" s="161" t="s">
        <v>213</v>
      </c>
      <c r="C180" s="161" t="s">
        <v>335</v>
      </c>
      <c r="D180" s="159"/>
      <c r="E180" s="65">
        <v>0</v>
      </c>
      <c r="F180" s="65">
        <f t="shared" si="43"/>
        <v>0</v>
      </c>
      <c r="G180" s="65">
        <v>0</v>
      </c>
      <c r="H180" s="65">
        <v>0</v>
      </c>
      <c r="I180" s="65">
        <v>0</v>
      </c>
      <c r="J180" s="65">
        <v>0</v>
      </c>
      <c r="K180" s="65">
        <v>0</v>
      </c>
      <c r="L180" s="65">
        <v>0</v>
      </c>
      <c r="M180" s="65">
        <f t="shared" si="44"/>
        <v>0</v>
      </c>
      <c r="N180" s="65">
        <v>0</v>
      </c>
      <c r="O180" s="65">
        <v>0</v>
      </c>
      <c r="P180" s="65">
        <v>0</v>
      </c>
      <c r="Q180" s="65">
        <v>0</v>
      </c>
      <c r="R180" s="65">
        <v>0</v>
      </c>
      <c r="S180" s="65">
        <v>0</v>
      </c>
      <c r="T180" s="65">
        <f t="shared" si="45"/>
        <v>0</v>
      </c>
      <c r="U180" s="65">
        <v>0</v>
      </c>
      <c r="V180" s="65">
        <v>0</v>
      </c>
      <c r="W180" s="65">
        <v>0</v>
      </c>
      <c r="X180" s="65">
        <v>0</v>
      </c>
      <c r="Y180" s="65">
        <v>0</v>
      </c>
      <c r="Z180" s="65">
        <f t="shared" si="46"/>
        <v>0</v>
      </c>
      <c r="AA180" s="65">
        <f t="shared" si="47"/>
        <v>0</v>
      </c>
      <c r="AB180" s="65">
        <f t="shared" si="48"/>
        <v>0</v>
      </c>
      <c r="AC180" s="65">
        <f t="shared" si="49"/>
        <v>0</v>
      </c>
      <c r="AD180" s="65">
        <f t="shared" si="50"/>
        <v>0</v>
      </c>
      <c r="AE180" s="65">
        <f t="shared" si="51"/>
        <v>0</v>
      </c>
      <c r="AF180" s="65">
        <f t="shared" si="52"/>
        <v>0</v>
      </c>
      <c r="AG180" s="65">
        <f t="shared" si="53"/>
        <v>0</v>
      </c>
      <c r="AH180" s="65">
        <f t="shared" si="54"/>
        <v>0</v>
      </c>
      <c r="AI180" s="65">
        <v>0</v>
      </c>
      <c r="AJ180" s="65">
        <v>0</v>
      </c>
      <c r="AK180" s="65">
        <v>0</v>
      </c>
      <c r="AL180" s="65">
        <v>0</v>
      </c>
      <c r="AM180" s="65"/>
      <c r="AN180" s="65">
        <f t="shared" si="41"/>
        <v>0</v>
      </c>
      <c r="AO180" s="65">
        <f t="shared" si="42"/>
        <v>0</v>
      </c>
      <c r="AP180" s="65" t="e">
        <f t="shared" si="55"/>
        <v>#DIV/0!</v>
      </c>
    </row>
    <row r="181" spans="1:43" s="57" customFormat="1">
      <c r="A181" s="86" t="s">
        <v>146</v>
      </c>
      <c r="B181" s="158" t="s">
        <v>210</v>
      </c>
      <c r="C181" s="161" t="s">
        <v>335</v>
      </c>
      <c r="D181" s="159"/>
      <c r="E181" s="65">
        <v>45</v>
      </c>
      <c r="F181" s="65">
        <f t="shared" si="43"/>
        <v>13813.359999999999</v>
      </c>
      <c r="G181" s="65">
        <v>1284.7</v>
      </c>
      <c r="H181" s="65">
        <v>453.63</v>
      </c>
      <c r="I181" s="65">
        <v>24.52</v>
      </c>
      <c r="J181" s="65">
        <v>6902.88</v>
      </c>
      <c r="K181" s="65">
        <v>5147.6299999999992</v>
      </c>
      <c r="L181" s="65">
        <v>0</v>
      </c>
      <c r="M181" s="65">
        <f t="shared" si="44"/>
        <v>0</v>
      </c>
      <c r="N181" s="65">
        <v>0</v>
      </c>
      <c r="O181" s="65">
        <v>0</v>
      </c>
      <c r="P181" s="65">
        <v>0</v>
      </c>
      <c r="Q181" s="65">
        <v>0</v>
      </c>
      <c r="R181" s="65">
        <v>0</v>
      </c>
      <c r="S181" s="65">
        <v>35</v>
      </c>
      <c r="T181" s="65">
        <f t="shared" si="45"/>
        <v>2868.91</v>
      </c>
      <c r="U181" s="65">
        <v>1139.26</v>
      </c>
      <c r="V181" s="65">
        <v>862.08999999999992</v>
      </c>
      <c r="W181" s="65">
        <v>294.08000000000004</v>
      </c>
      <c r="X181" s="65">
        <v>0</v>
      </c>
      <c r="Y181" s="65">
        <v>573.48</v>
      </c>
      <c r="Z181" s="65">
        <f t="shared" si="46"/>
        <v>80</v>
      </c>
      <c r="AA181" s="65">
        <f t="shared" si="47"/>
        <v>16682.269999999997</v>
      </c>
      <c r="AB181" s="65">
        <f t="shared" si="48"/>
        <v>2423.96</v>
      </c>
      <c r="AC181" s="65">
        <f t="shared" si="49"/>
        <v>1315.7199999999998</v>
      </c>
      <c r="AD181" s="65">
        <f t="shared" si="50"/>
        <v>318.60000000000002</v>
      </c>
      <c r="AE181" s="65">
        <f t="shared" si="51"/>
        <v>6902.88</v>
      </c>
      <c r="AF181" s="65">
        <f t="shared" si="52"/>
        <v>5721.1099999999988</v>
      </c>
      <c r="AG181" s="65">
        <f t="shared" si="53"/>
        <v>80</v>
      </c>
      <c r="AH181" s="65">
        <f t="shared" si="54"/>
        <v>16682.269999999997</v>
      </c>
      <c r="AI181" s="65">
        <v>0</v>
      </c>
      <c r="AJ181" s="65">
        <v>0</v>
      </c>
      <c r="AK181" s="65">
        <v>0</v>
      </c>
      <c r="AL181" s="65">
        <v>0</v>
      </c>
      <c r="AM181" s="65"/>
      <c r="AN181" s="65">
        <f t="shared" si="41"/>
        <v>80</v>
      </c>
      <c r="AO181" s="65">
        <f t="shared" si="42"/>
        <v>16682.269999999997</v>
      </c>
      <c r="AP181" s="65">
        <f t="shared" si="55"/>
        <v>208.52837499999995</v>
      </c>
    </row>
    <row r="182" spans="1:43" s="57" customFormat="1">
      <c r="A182" s="86" t="s">
        <v>147</v>
      </c>
      <c r="B182" s="158" t="s">
        <v>211</v>
      </c>
      <c r="C182" s="161" t="s">
        <v>336</v>
      </c>
      <c r="D182" s="160"/>
      <c r="E182" s="65">
        <v>62</v>
      </c>
      <c r="F182" s="65">
        <f t="shared" si="43"/>
        <v>8192.42</v>
      </c>
      <c r="G182" s="65">
        <v>3421.11</v>
      </c>
      <c r="H182" s="65">
        <v>27.4</v>
      </c>
      <c r="I182" s="65">
        <v>229.54000000000002</v>
      </c>
      <c r="J182" s="65">
        <v>4373.76</v>
      </c>
      <c r="K182" s="65">
        <v>140.61000000000001</v>
      </c>
      <c r="L182" s="65">
        <v>0</v>
      </c>
      <c r="M182" s="65">
        <f t="shared" si="44"/>
        <v>0</v>
      </c>
      <c r="N182" s="65">
        <v>0</v>
      </c>
      <c r="O182" s="65">
        <v>0</v>
      </c>
      <c r="P182" s="65">
        <v>0</v>
      </c>
      <c r="Q182" s="65">
        <v>0</v>
      </c>
      <c r="R182" s="65">
        <v>0</v>
      </c>
      <c r="S182" s="65">
        <v>60</v>
      </c>
      <c r="T182" s="65">
        <f t="shared" si="45"/>
        <v>10038.749999999998</v>
      </c>
      <c r="U182" s="65">
        <v>3014.8999999999996</v>
      </c>
      <c r="V182" s="65">
        <v>1179</v>
      </c>
      <c r="W182" s="65">
        <v>1882.56</v>
      </c>
      <c r="X182" s="65">
        <v>2284.9</v>
      </c>
      <c r="Y182" s="65">
        <v>1677.3899999999999</v>
      </c>
      <c r="Z182" s="65">
        <f t="shared" si="46"/>
        <v>122</v>
      </c>
      <c r="AA182" s="65">
        <f t="shared" si="47"/>
        <v>18231.169999999998</v>
      </c>
      <c r="AB182" s="65">
        <f t="shared" si="48"/>
        <v>6436.01</v>
      </c>
      <c r="AC182" s="65">
        <f t="shared" si="49"/>
        <v>1206.4000000000001</v>
      </c>
      <c r="AD182" s="65">
        <f t="shared" si="50"/>
        <v>2112.1</v>
      </c>
      <c r="AE182" s="65">
        <f t="shared" si="51"/>
        <v>6658.66</v>
      </c>
      <c r="AF182" s="65">
        <f t="shared" si="52"/>
        <v>1818</v>
      </c>
      <c r="AG182" s="65">
        <f t="shared" si="53"/>
        <v>122</v>
      </c>
      <c r="AH182" s="65">
        <f t="shared" si="54"/>
        <v>18231.169999999998</v>
      </c>
      <c r="AI182" s="65">
        <v>0</v>
      </c>
      <c r="AJ182" s="65">
        <v>0</v>
      </c>
      <c r="AK182" s="65">
        <v>0</v>
      </c>
      <c r="AL182" s="65">
        <v>0</v>
      </c>
      <c r="AM182" s="65"/>
      <c r="AN182" s="65">
        <f t="shared" si="41"/>
        <v>122</v>
      </c>
      <c r="AO182" s="65">
        <f t="shared" si="42"/>
        <v>18231.169999999998</v>
      </c>
      <c r="AP182" s="65">
        <f t="shared" si="55"/>
        <v>149.43581967213115</v>
      </c>
    </row>
    <row r="183" spans="1:43" s="57" customFormat="1">
      <c r="A183" s="132" t="s">
        <v>325</v>
      </c>
      <c r="B183" s="161" t="s">
        <v>213</v>
      </c>
      <c r="C183" s="161" t="s">
        <v>335</v>
      </c>
      <c r="D183" s="160"/>
      <c r="E183" s="65">
        <v>13</v>
      </c>
      <c r="F183" s="65">
        <f t="shared" si="43"/>
        <v>641.54000000000008</v>
      </c>
      <c r="G183" s="65">
        <v>641.54000000000008</v>
      </c>
      <c r="H183" s="65">
        <v>0</v>
      </c>
      <c r="I183" s="65">
        <v>0</v>
      </c>
      <c r="J183" s="65">
        <v>0</v>
      </c>
      <c r="K183" s="65">
        <v>0</v>
      </c>
      <c r="L183" s="65">
        <v>0</v>
      </c>
      <c r="M183" s="65">
        <f t="shared" si="44"/>
        <v>0</v>
      </c>
      <c r="N183" s="65">
        <v>0</v>
      </c>
      <c r="O183" s="65">
        <v>0</v>
      </c>
      <c r="P183" s="65">
        <v>0</v>
      </c>
      <c r="Q183" s="65">
        <v>0</v>
      </c>
      <c r="R183" s="65">
        <v>0</v>
      </c>
      <c r="S183" s="65">
        <v>72</v>
      </c>
      <c r="T183" s="65">
        <f t="shared" si="45"/>
        <v>16650.060000000001</v>
      </c>
      <c r="U183" s="65">
        <v>4100.62</v>
      </c>
      <c r="V183" s="65">
        <v>1018.13</v>
      </c>
      <c r="W183" s="65">
        <v>6171.47</v>
      </c>
      <c r="X183" s="65">
        <v>3091.72</v>
      </c>
      <c r="Y183" s="65">
        <v>2268.12</v>
      </c>
      <c r="Z183" s="65">
        <f t="shared" si="46"/>
        <v>85</v>
      </c>
      <c r="AA183" s="65">
        <f t="shared" si="47"/>
        <v>17291.600000000002</v>
      </c>
      <c r="AB183" s="65">
        <f t="shared" si="48"/>
        <v>4742.16</v>
      </c>
      <c r="AC183" s="65">
        <f t="shared" si="49"/>
        <v>1018.13</v>
      </c>
      <c r="AD183" s="65">
        <f t="shared" si="50"/>
        <v>6171.47</v>
      </c>
      <c r="AE183" s="65">
        <f t="shared" si="51"/>
        <v>3091.72</v>
      </c>
      <c r="AF183" s="65">
        <f t="shared" si="52"/>
        <v>2268.12</v>
      </c>
      <c r="AG183" s="65">
        <f t="shared" si="53"/>
        <v>85</v>
      </c>
      <c r="AH183" s="65">
        <f t="shared" si="54"/>
        <v>17291.600000000002</v>
      </c>
      <c r="AI183" s="65">
        <v>0</v>
      </c>
      <c r="AJ183" s="65">
        <v>0</v>
      </c>
      <c r="AK183" s="65">
        <v>0</v>
      </c>
      <c r="AL183" s="65">
        <v>0</v>
      </c>
      <c r="AM183" s="65"/>
      <c r="AN183" s="65">
        <f t="shared" ref="AN183:AN192" si="66">AG183+AI183+AK183</f>
        <v>85</v>
      </c>
      <c r="AO183" s="65">
        <f t="shared" si="42"/>
        <v>17291.600000000002</v>
      </c>
      <c r="AP183" s="65">
        <f t="shared" si="55"/>
        <v>203.43058823529415</v>
      </c>
    </row>
    <row r="184" spans="1:43" s="57" customFormat="1">
      <c r="A184" s="132" t="s">
        <v>326</v>
      </c>
      <c r="B184" s="161" t="s">
        <v>210</v>
      </c>
      <c r="C184" s="161" t="s">
        <v>335</v>
      </c>
      <c r="D184" s="160"/>
      <c r="E184" s="65">
        <v>1</v>
      </c>
      <c r="F184" s="65">
        <f t="shared" si="43"/>
        <v>415.18</v>
      </c>
      <c r="G184" s="65">
        <v>0</v>
      </c>
      <c r="H184" s="65">
        <v>415.18</v>
      </c>
      <c r="I184" s="65">
        <v>0</v>
      </c>
      <c r="J184" s="65">
        <v>0</v>
      </c>
      <c r="K184" s="65">
        <v>0</v>
      </c>
      <c r="L184" s="65">
        <v>0</v>
      </c>
      <c r="M184" s="65">
        <f t="shared" si="44"/>
        <v>0</v>
      </c>
      <c r="N184" s="65">
        <v>0</v>
      </c>
      <c r="O184" s="65">
        <v>0</v>
      </c>
      <c r="P184" s="65">
        <v>0</v>
      </c>
      <c r="Q184" s="65">
        <v>0</v>
      </c>
      <c r="R184" s="65">
        <v>0</v>
      </c>
      <c r="S184" s="65">
        <v>1</v>
      </c>
      <c r="T184" s="65">
        <f t="shared" si="45"/>
        <v>77.91</v>
      </c>
      <c r="U184" s="65">
        <v>16.100000000000001</v>
      </c>
      <c r="V184" s="65">
        <v>0</v>
      </c>
      <c r="W184" s="65">
        <v>61.81</v>
      </c>
      <c r="X184" s="65">
        <v>0</v>
      </c>
      <c r="Y184" s="65">
        <v>0</v>
      </c>
      <c r="Z184" s="65">
        <f t="shared" si="46"/>
        <v>2</v>
      </c>
      <c r="AA184" s="65">
        <f t="shared" si="47"/>
        <v>493.09000000000003</v>
      </c>
      <c r="AB184" s="65">
        <f t="shared" si="48"/>
        <v>16.100000000000001</v>
      </c>
      <c r="AC184" s="65">
        <f t="shared" si="49"/>
        <v>415.18</v>
      </c>
      <c r="AD184" s="65">
        <f t="shared" si="50"/>
        <v>61.81</v>
      </c>
      <c r="AE184" s="65">
        <f t="shared" si="51"/>
        <v>0</v>
      </c>
      <c r="AF184" s="65">
        <f t="shared" si="52"/>
        <v>0</v>
      </c>
      <c r="AG184" s="65">
        <f t="shared" si="53"/>
        <v>2</v>
      </c>
      <c r="AH184" s="65">
        <f t="shared" si="54"/>
        <v>493.09000000000003</v>
      </c>
      <c r="AI184" s="65">
        <v>0</v>
      </c>
      <c r="AJ184" s="65">
        <v>0</v>
      </c>
      <c r="AK184" s="65">
        <v>0</v>
      </c>
      <c r="AL184" s="65">
        <v>0</v>
      </c>
      <c r="AM184" s="65"/>
      <c r="AN184" s="65">
        <f t="shared" si="66"/>
        <v>2</v>
      </c>
      <c r="AO184" s="65">
        <f t="shared" si="42"/>
        <v>493.09000000000003</v>
      </c>
      <c r="AP184" s="65">
        <f t="shared" si="55"/>
        <v>246.54500000000002</v>
      </c>
    </row>
    <row r="185" spans="1:43" s="57" customFormat="1">
      <c r="A185" s="86" t="s">
        <v>172</v>
      </c>
      <c r="B185" s="158" t="s">
        <v>211</v>
      </c>
      <c r="C185" s="161" t="s">
        <v>335</v>
      </c>
      <c r="D185" s="159"/>
      <c r="E185" s="65">
        <v>9</v>
      </c>
      <c r="F185" s="65">
        <f t="shared" si="43"/>
        <v>1885.0700000000002</v>
      </c>
      <c r="G185" s="65">
        <v>345.65000000000003</v>
      </c>
      <c r="H185" s="65">
        <v>50.01</v>
      </c>
      <c r="I185" s="65">
        <v>0.92</v>
      </c>
      <c r="J185" s="65">
        <v>1324.61</v>
      </c>
      <c r="K185" s="65">
        <v>163.88</v>
      </c>
      <c r="L185" s="65">
        <v>0</v>
      </c>
      <c r="M185" s="65">
        <f t="shared" si="44"/>
        <v>0</v>
      </c>
      <c r="N185" s="65">
        <v>0</v>
      </c>
      <c r="O185" s="65">
        <v>0</v>
      </c>
      <c r="P185" s="65">
        <v>0</v>
      </c>
      <c r="Q185" s="65">
        <v>0</v>
      </c>
      <c r="R185" s="65">
        <v>0</v>
      </c>
      <c r="S185" s="65">
        <v>47</v>
      </c>
      <c r="T185" s="65">
        <f t="shared" si="45"/>
        <v>46203.86</v>
      </c>
      <c r="U185" s="65">
        <v>11947.7</v>
      </c>
      <c r="V185" s="65">
        <v>1463.59</v>
      </c>
      <c r="W185" s="65">
        <v>1165.49</v>
      </c>
      <c r="X185" s="65">
        <v>27091.85</v>
      </c>
      <c r="Y185" s="65">
        <v>4535.2299999999996</v>
      </c>
      <c r="Z185" s="65">
        <f t="shared" si="46"/>
        <v>56</v>
      </c>
      <c r="AA185" s="65">
        <f t="shared" si="47"/>
        <v>48088.93</v>
      </c>
      <c r="AB185" s="65">
        <f t="shared" si="48"/>
        <v>12293.35</v>
      </c>
      <c r="AC185" s="65">
        <f t="shared" si="49"/>
        <v>1513.6</v>
      </c>
      <c r="AD185" s="65">
        <f t="shared" si="50"/>
        <v>1166.4100000000001</v>
      </c>
      <c r="AE185" s="65">
        <f t="shared" si="51"/>
        <v>28416.46</v>
      </c>
      <c r="AF185" s="65">
        <f t="shared" si="52"/>
        <v>4699.1099999999997</v>
      </c>
      <c r="AG185" s="65">
        <f t="shared" si="53"/>
        <v>56</v>
      </c>
      <c r="AH185" s="65">
        <f t="shared" si="54"/>
        <v>48088.93</v>
      </c>
      <c r="AI185" s="65">
        <v>0</v>
      </c>
      <c r="AJ185" s="65">
        <v>0</v>
      </c>
      <c r="AK185" s="65">
        <v>0</v>
      </c>
      <c r="AL185" s="65">
        <v>0</v>
      </c>
      <c r="AM185" s="65"/>
      <c r="AN185" s="65">
        <f t="shared" si="66"/>
        <v>56</v>
      </c>
      <c r="AO185" s="65">
        <f t="shared" si="42"/>
        <v>48088.93</v>
      </c>
      <c r="AP185" s="65">
        <f t="shared" si="55"/>
        <v>858.73089285714286</v>
      </c>
    </row>
    <row r="186" spans="1:43" s="57" customFormat="1">
      <c r="A186" s="86" t="s">
        <v>148</v>
      </c>
      <c r="B186" s="158" t="s">
        <v>212</v>
      </c>
      <c r="C186" s="161" t="s">
        <v>335</v>
      </c>
      <c r="D186" s="159"/>
      <c r="E186" s="65">
        <v>1401</v>
      </c>
      <c r="F186" s="65">
        <f t="shared" si="43"/>
        <v>386098.66</v>
      </c>
      <c r="G186" s="65">
        <v>60761.91</v>
      </c>
      <c r="H186" s="65">
        <v>475.45000000000005</v>
      </c>
      <c r="I186" s="65">
        <v>3252.82</v>
      </c>
      <c r="J186" s="65">
        <v>319022.8</v>
      </c>
      <c r="K186" s="65">
        <v>2585.6800000000003</v>
      </c>
      <c r="L186" s="65">
        <v>1</v>
      </c>
      <c r="M186" s="65">
        <f t="shared" si="44"/>
        <v>690.4</v>
      </c>
      <c r="N186" s="65">
        <v>0</v>
      </c>
      <c r="O186" s="65">
        <v>0</v>
      </c>
      <c r="P186" s="65">
        <v>0</v>
      </c>
      <c r="Q186" s="65">
        <v>690.4</v>
      </c>
      <c r="R186" s="65">
        <v>0</v>
      </c>
      <c r="S186" s="65">
        <v>445</v>
      </c>
      <c r="T186" s="65">
        <f t="shared" si="45"/>
        <v>127004.20999999999</v>
      </c>
      <c r="U186" s="65">
        <v>27306.48</v>
      </c>
      <c r="V186" s="65">
        <v>4905.13</v>
      </c>
      <c r="W186" s="65">
        <v>22517.14</v>
      </c>
      <c r="X186" s="65">
        <v>52441.95</v>
      </c>
      <c r="Y186" s="65">
        <v>19833.509999999998</v>
      </c>
      <c r="Z186" s="65">
        <f t="shared" si="46"/>
        <v>1847</v>
      </c>
      <c r="AA186" s="65">
        <f t="shared" si="47"/>
        <v>513793.27</v>
      </c>
      <c r="AB186" s="65">
        <f t="shared" si="48"/>
        <v>88068.39</v>
      </c>
      <c r="AC186" s="65">
        <f t="shared" si="49"/>
        <v>5380.58</v>
      </c>
      <c r="AD186" s="65">
        <f t="shared" si="50"/>
        <v>25769.96</v>
      </c>
      <c r="AE186" s="65">
        <f t="shared" si="51"/>
        <v>372155.15</v>
      </c>
      <c r="AF186" s="65">
        <f t="shared" si="52"/>
        <v>22419.19</v>
      </c>
      <c r="AG186" s="65">
        <f t="shared" si="53"/>
        <v>1847</v>
      </c>
      <c r="AH186" s="65">
        <f t="shared" si="54"/>
        <v>513793.27</v>
      </c>
      <c r="AI186" s="65">
        <v>0</v>
      </c>
      <c r="AJ186" s="65">
        <v>0</v>
      </c>
      <c r="AK186" s="65">
        <v>0</v>
      </c>
      <c r="AL186" s="65">
        <v>0</v>
      </c>
      <c r="AM186" s="65"/>
      <c r="AN186" s="65">
        <f t="shared" si="66"/>
        <v>1847</v>
      </c>
      <c r="AO186" s="65">
        <f t="shared" si="42"/>
        <v>513793.27</v>
      </c>
      <c r="AP186" s="65">
        <f t="shared" si="55"/>
        <v>278.17719003789932</v>
      </c>
    </row>
    <row r="187" spans="1:43" s="57" customFormat="1">
      <c r="A187" s="132" t="s">
        <v>327</v>
      </c>
      <c r="B187" s="161" t="s">
        <v>213</v>
      </c>
      <c r="C187" s="161" t="s">
        <v>335</v>
      </c>
      <c r="D187" s="159"/>
      <c r="E187" s="65">
        <v>2</v>
      </c>
      <c r="F187" s="65">
        <f t="shared" si="43"/>
        <v>40.29</v>
      </c>
      <c r="G187" s="65">
        <v>40.29</v>
      </c>
      <c r="H187" s="65">
        <v>0</v>
      </c>
      <c r="I187" s="65">
        <v>0</v>
      </c>
      <c r="J187" s="65">
        <v>0</v>
      </c>
      <c r="K187" s="65">
        <v>0</v>
      </c>
      <c r="L187" s="65">
        <v>0</v>
      </c>
      <c r="M187" s="65">
        <f t="shared" si="44"/>
        <v>0</v>
      </c>
      <c r="N187" s="65">
        <v>0</v>
      </c>
      <c r="O187" s="65">
        <v>0</v>
      </c>
      <c r="P187" s="65">
        <v>0</v>
      </c>
      <c r="Q187" s="65">
        <v>0</v>
      </c>
      <c r="R187" s="65">
        <v>0</v>
      </c>
      <c r="S187" s="65">
        <v>2</v>
      </c>
      <c r="T187" s="65">
        <f t="shared" si="45"/>
        <v>44.78</v>
      </c>
      <c r="U187" s="65">
        <v>16.100000000000001</v>
      </c>
      <c r="V187" s="65">
        <v>28.68</v>
      </c>
      <c r="W187" s="65">
        <v>0</v>
      </c>
      <c r="X187" s="65">
        <v>0</v>
      </c>
      <c r="Y187" s="65">
        <v>0</v>
      </c>
      <c r="Z187" s="65">
        <f t="shared" si="46"/>
        <v>4</v>
      </c>
      <c r="AA187" s="65">
        <f t="shared" si="47"/>
        <v>85.07</v>
      </c>
      <c r="AB187" s="65">
        <f t="shared" si="48"/>
        <v>56.39</v>
      </c>
      <c r="AC187" s="65">
        <f t="shared" si="49"/>
        <v>28.68</v>
      </c>
      <c r="AD187" s="65">
        <f t="shared" si="50"/>
        <v>0</v>
      </c>
      <c r="AE187" s="65">
        <f t="shared" si="51"/>
        <v>0</v>
      </c>
      <c r="AF187" s="65">
        <f t="shared" si="52"/>
        <v>0</v>
      </c>
      <c r="AG187" s="65">
        <f t="shared" si="53"/>
        <v>4</v>
      </c>
      <c r="AH187" s="65">
        <f t="shared" si="54"/>
        <v>85.07</v>
      </c>
      <c r="AI187" s="65">
        <v>0</v>
      </c>
      <c r="AJ187" s="65">
        <v>0</v>
      </c>
      <c r="AK187" s="65">
        <v>0</v>
      </c>
      <c r="AL187" s="65">
        <v>0</v>
      </c>
      <c r="AM187" s="65"/>
      <c r="AN187" s="65">
        <f t="shared" si="66"/>
        <v>4</v>
      </c>
      <c r="AO187" s="65">
        <f t="shared" si="42"/>
        <v>85.07</v>
      </c>
      <c r="AP187" s="65">
        <f t="shared" si="55"/>
        <v>21.267499999999998</v>
      </c>
    </row>
    <row r="188" spans="1:43" s="57" customFormat="1">
      <c r="A188" s="86" t="s">
        <v>173</v>
      </c>
      <c r="B188" s="158" t="s">
        <v>212</v>
      </c>
      <c r="C188" s="161" t="s">
        <v>335</v>
      </c>
      <c r="D188" s="159"/>
      <c r="E188" s="65">
        <v>0</v>
      </c>
      <c r="F188" s="65">
        <f t="shared" si="43"/>
        <v>0</v>
      </c>
      <c r="G188" s="65">
        <v>0</v>
      </c>
      <c r="H188" s="65">
        <v>0</v>
      </c>
      <c r="I188" s="65">
        <v>0</v>
      </c>
      <c r="J188" s="65">
        <v>0</v>
      </c>
      <c r="K188" s="65">
        <v>0</v>
      </c>
      <c r="L188" s="65">
        <v>0</v>
      </c>
      <c r="M188" s="65">
        <f t="shared" si="44"/>
        <v>0</v>
      </c>
      <c r="N188" s="65">
        <v>0</v>
      </c>
      <c r="O188" s="65">
        <v>0</v>
      </c>
      <c r="P188" s="65">
        <v>0</v>
      </c>
      <c r="Q188" s="65">
        <v>0</v>
      </c>
      <c r="R188" s="65">
        <v>0</v>
      </c>
      <c r="S188" s="65">
        <v>0</v>
      </c>
      <c r="T188" s="65">
        <f t="shared" si="45"/>
        <v>0</v>
      </c>
      <c r="U188" s="65">
        <v>0</v>
      </c>
      <c r="V188" s="65">
        <v>0</v>
      </c>
      <c r="W188" s="65">
        <v>0</v>
      </c>
      <c r="X188" s="65">
        <v>0</v>
      </c>
      <c r="Y188" s="65">
        <v>0</v>
      </c>
      <c r="Z188" s="65">
        <f t="shared" si="46"/>
        <v>0</v>
      </c>
      <c r="AA188" s="65">
        <f t="shared" si="47"/>
        <v>0</v>
      </c>
      <c r="AB188" s="65">
        <f t="shared" si="48"/>
        <v>0</v>
      </c>
      <c r="AC188" s="65">
        <f t="shared" si="49"/>
        <v>0</v>
      </c>
      <c r="AD188" s="65">
        <f t="shared" si="50"/>
        <v>0</v>
      </c>
      <c r="AE188" s="65">
        <f t="shared" si="51"/>
        <v>0</v>
      </c>
      <c r="AF188" s="65">
        <f t="shared" si="52"/>
        <v>0</v>
      </c>
      <c r="AG188" s="65">
        <f t="shared" si="53"/>
        <v>0</v>
      </c>
      <c r="AH188" s="65">
        <f t="shared" si="54"/>
        <v>0</v>
      </c>
      <c r="AI188" s="65">
        <v>0</v>
      </c>
      <c r="AJ188" s="65">
        <v>0</v>
      </c>
      <c r="AK188" s="65">
        <v>0</v>
      </c>
      <c r="AL188" s="65">
        <v>0</v>
      </c>
      <c r="AM188" s="65"/>
      <c r="AN188" s="65">
        <f t="shared" si="66"/>
        <v>0</v>
      </c>
      <c r="AO188" s="65">
        <f t="shared" si="42"/>
        <v>0</v>
      </c>
      <c r="AP188" s="65" t="e">
        <f t="shared" si="55"/>
        <v>#DIV/0!</v>
      </c>
    </row>
    <row r="189" spans="1:43" s="57" customFormat="1">
      <c r="A189" s="86" t="s">
        <v>149</v>
      </c>
      <c r="B189" s="158" t="s">
        <v>209</v>
      </c>
      <c r="C189" s="161" t="s">
        <v>335</v>
      </c>
      <c r="D189" s="159"/>
      <c r="E189" s="65">
        <v>3</v>
      </c>
      <c r="F189" s="65">
        <f t="shared" si="43"/>
        <v>202.31</v>
      </c>
      <c r="G189" s="65">
        <v>85.22</v>
      </c>
      <c r="H189" s="65">
        <v>0</v>
      </c>
      <c r="I189" s="65">
        <v>9.7200000000000006</v>
      </c>
      <c r="J189" s="65">
        <v>107.37</v>
      </c>
      <c r="K189" s="65">
        <v>0</v>
      </c>
      <c r="L189" s="65">
        <v>0</v>
      </c>
      <c r="M189" s="65">
        <f t="shared" si="44"/>
        <v>0</v>
      </c>
      <c r="N189" s="65">
        <v>0</v>
      </c>
      <c r="O189" s="65">
        <v>0</v>
      </c>
      <c r="P189" s="65">
        <v>0</v>
      </c>
      <c r="Q189" s="65">
        <v>0</v>
      </c>
      <c r="R189" s="65">
        <v>0</v>
      </c>
      <c r="S189" s="65">
        <v>4</v>
      </c>
      <c r="T189" s="65">
        <f t="shared" si="45"/>
        <v>2749.39</v>
      </c>
      <c r="U189" s="65">
        <v>389.64</v>
      </c>
      <c r="V189" s="65">
        <v>0</v>
      </c>
      <c r="W189" s="65">
        <v>270.95</v>
      </c>
      <c r="X189" s="65">
        <v>1961.78</v>
      </c>
      <c r="Y189" s="65">
        <v>127.02</v>
      </c>
      <c r="Z189" s="65">
        <f t="shared" si="46"/>
        <v>7</v>
      </c>
      <c r="AA189" s="65">
        <f t="shared" si="47"/>
        <v>2951.7</v>
      </c>
      <c r="AB189" s="65">
        <f t="shared" si="48"/>
        <v>474.86</v>
      </c>
      <c r="AC189" s="65">
        <f t="shared" si="49"/>
        <v>0</v>
      </c>
      <c r="AD189" s="65">
        <f t="shared" si="50"/>
        <v>280.67</v>
      </c>
      <c r="AE189" s="65">
        <f t="shared" si="51"/>
        <v>2069.15</v>
      </c>
      <c r="AF189" s="65">
        <f t="shared" si="52"/>
        <v>127.02</v>
      </c>
      <c r="AG189" s="65">
        <f t="shared" si="53"/>
        <v>7</v>
      </c>
      <c r="AH189" s="65">
        <f t="shared" si="54"/>
        <v>2951.7</v>
      </c>
      <c r="AI189" s="65">
        <v>0</v>
      </c>
      <c r="AJ189" s="65">
        <v>0</v>
      </c>
      <c r="AK189" s="65">
        <v>0</v>
      </c>
      <c r="AL189" s="65">
        <v>0</v>
      </c>
      <c r="AM189" s="65"/>
      <c r="AN189" s="65">
        <f t="shared" si="66"/>
        <v>7</v>
      </c>
      <c r="AO189" s="65">
        <f t="shared" si="42"/>
        <v>2951.7</v>
      </c>
      <c r="AP189" s="65">
        <f t="shared" si="55"/>
        <v>421.67142857142852</v>
      </c>
    </row>
    <row r="190" spans="1:43" s="57" customFormat="1">
      <c r="A190" s="86" t="s">
        <v>150</v>
      </c>
      <c r="B190" s="158" t="s">
        <v>209</v>
      </c>
      <c r="C190" s="161" t="s">
        <v>335</v>
      </c>
      <c r="D190" s="159"/>
      <c r="E190" s="65">
        <v>9</v>
      </c>
      <c r="F190" s="65">
        <f t="shared" si="43"/>
        <v>892.53000000000009</v>
      </c>
      <c r="G190" s="65">
        <v>413.23</v>
      </c>
      <c r="H190" s="65">
        <v>0</v>
      </c>
      <c r="I190" s="65">
        <v>35.489999999999995</v>
      </c>
      <c r="J190" s="65">
        <v>401.86</v>
      </c>
      <c r="K190" s="65">
        <v>41.95</v>
      </c>
      <c r="L190" s="65">
        <v>0</v>
      </c>
      <c r="M190" s="65">
        <f t="shared" si="44"/>
        <v>0</v>
      </c>
      <c r="N190" s="65">
        <v>0</v>
      </c>
      <c r="O190" s="65">
        <v>0</v>
      </c>
      <c r="P190" s="65">
        <v>0</v>
      </c>
      <c r="Q190" s="65">
        <v>0</v>
      </c>
      <c r="R190" s="65">
        <v>0</v>
      </c>
      <c r="S190" s="65">
        <v>17</v>
      </c>
      <c r="T190" s="65">
        <f t="shared" si="45"/>
        <v>2809.9700000000003</v>
      </c>
      <c r="U190" s="65">
        <v>800.72</v>
      </c>
      <c r="V190" s="65">
        <v>498.72</v>
      </c>
      <c r="W190" s="65">
        <v>453.53000000000003</v>
      </c>
      <c r="X190" s="65">
        <v>0</v>
      </c>
      <c r="Y190" s="65">
        <v>1057</v>
      </c>
      <c r="Z190" s="65">
        <f t="shared" si="46"/>
        <v>26</v>
      </c>
      <c r="AA190" s="65">
        <f t="shared" si="47"/>
        <v>3702.5000000000005</v>
      </c>
      <c r="AB190" s="65">
        <f t="shared" si="48"/>
        <v>1213.95</v>
      </c>
      <c r="AC190" s="65">
        <f t="shared" si="49"/>
        <v>498.72</v>
      </c>
      <c r="AD190" s="65">
        <f t="shared" si="50"/>
        <v>489.02000000000004</v>
      </c>
      <c r="AE190" s="65">
        <f t="shared" si="51"/>
        <v>401.86</v>
      </c>
      <c r="AF190" s="65">
        <f t="shared" si="52"/>
        <v>1098.95</v>
      </c>
      <c r="AG190" s="65">
        <f t="shared" si="53"/>
        <v>26</v>
      </c>
      <c r="AH190" s="65">
        <f t="shared" si="54"/>
        <v>3702.5000000000005</v>
      </c>
      <c r="AI190" s="65">
        <v>0</v>
      </c>
      <c r="AJ190" s="65">
        <v>0</v>
      </c>
      <c r="AK190" s="65">
        <v>0</v>
      </c>
      <c r="AL190" s="65">
        <v>0</v>
      </c>
      <c r="AM190" s="65"/>
      <c r="AN190" s="65">
        <f t="shared" si="66"/>
        <v>26</v>
      </c>
      <c r="AO190" s="65">
        <f t="shared" si="42"/>
        <v>3702.5000000000005</v>
      </c>
      <c r="AP190" s="65">
        <f t="shared" si="55"/>
        <v>142.40384615384616</v>
      </c>
    </row>
    <row r="191" spans="1:43" s="57" customFormat="1">
      <c r="A191" s="86" t="s">
        <v>205</v>
      </c>
      <c r="B191" s="158" t="s">
        <v>216</v>
      </c>
      <c r="C191" s="161" t="s">
        <v>335</v>
      </c>
      <c r="D191" s="159"/>
      <c r="E191" s="65">
        <v>3181</v>
      </c>
      <c r="F191" s="65">
        <f t="shared" si="43"/>
        <v>230798.35999999996</v>
      </c>
      <c r="G191" s="65">
        <v>84900.699999999983</v>
      </c>
      <c r="H191" s="65">
        <v>465.62</v>
      </c>
      <c r="I191" s="65">
        <v>30292.5</v>
      </c>
      <c r="J191" s="163">
        <v>82647.549999999988</v>
      </c>
      <c r="K191" s="65">
        <v>32491.99</v>
      </c>
      <c r="L191" s="65">
        <v>7</v>
      </c>
      <c r="M191" s="65">
        <f t="shared" si="44"/>
        <v>11971.7</v>
      </c>
      <c r="N191" s="65">
        <v>19.7</v>
      </c>
      <c r="O191" s="65">
        <v>0</v>
      </c>
      <c r="P191" s="65">
        <v>0</v>
      </c>
      <c r="Q191" s="65">
        <v>11952</v>
      </c>
      <c r="R191" s="65">
        <v>0</v>
      </c>
      <c r="S191" s="65">
        <v>6</v>
      </c>
      <c r="T191" s="65">
        <f t="shared" si="45"/>
        <v>187.16</v>
      </c>
      <c r="U191" s="65">
        <v>140.54</v>
      </c>
      <c r="V191" s="65">
        <v>0</v>
      </c>
      <c r="W191" s="65">
        <v>46.62</v>
      </c>
      <c r="X191" s="65">
        <v>0</v>
      </c>
      <c r="Y191" s="65">
        <v>0</v>
      </c>
      <c r="Z191" s="65">
        <f t="shared" si="46"/>
        <v>3194</v>
      </c>
      <c r="AA191" s="65">
        <f t="shared" si="47"/>
        <v>242957.21999999997</v>
      </c>
      <c r="AB191" s="65">
        <f t="shared" si="48"/>
        <v>85060.939999999973</v>
      </c>
      <c r="AC191" s="65">
        <f t="shared" si="49"/>
        <v>465.62</v>
      </c>
      <c r="AD191" s="65">
        <f t="shared" si="50"/>
        <v>30339.119999999999</v>
      </c>
      <c r="AE191" s="65">
        <f t="shared" si="51"/>
        <v>94599.549999999988</v>
      </c>
      <c r="AF191" s="65">
        <f t="shared" si="52"/>
        <v>32491.99</v>
      </c>
      <c r="AG191" s="65">
        <f t="shared" si="53"/>
        <v>3194</v>
      </c>
      <c r="AH191" s="65">
        <f t="shared" si="54"/>
        <v>242957.21999999997</v>
      </c>
      <c r="AI191" s="65">
        <v>0</v>
      </c>
      <c r="AJ191" s="65">
        <v>0</v>
      </c>
      <c r="AK191" s="65">
        <v>0</v>
      </c>
      <c r="AL191" s="65">
        <v>0</v>
      </c>
      <c r="AM191" s="65"/>
      <c r="AN191" s="65">
        <f t="shared" si="66"/>
        <v>3194</v>
      </c>
      <c r="AO191" s="65">
        <f t="shared" si="42"/>
        <v>242957.21999999997</v>
      </c>
      <c r="AP191" s="65">
        <f t="shared" si="55"/>
        <v>76.066756418284271</v>
      </c>
    </row>
    <row r="192" spans="1:43" s="57" customFormat="1">
      <c r="A192" s="86" t="s">
        <v>189</v>
      </c>
      <c r="B192" s="161" t="s">
        <v>358</v>
      </c>
      <c r="C192" s="161" t="s">
        <v>335</v>
      </c>
      <c r="D192" s="159"/>
      <c r="E192" s="65">
        <v>69</v>
      </c>
      <c r="F192" s="65">
        <f t="shared" si="43"/>
        <v>192592.81999999998</v>
      </c>
      <c r="G192" s="65">
        <v>1150.33</v>
      </c>
      <c r="H192" s="65">
        <v>526.12</v>
      </c>
      <c r="I192" s="65">
        <v>771.02</v>
      </c>
      <c r="J192" s="65">
        <v>187548.97999999998</v>
      </c>
      <c r="K192" s="65">
        <v>2596.37</v>
      </c>
      <c r="L192" s="65">
        <v>10</v>
      </c>
      <c r="M192" s="65">
        <f t="shared" si="44"/>
        <v>29487.15</v>
      </c>
      <c r="N192" s="65">
        <v>365.38</v>
      </c>
      <c r="O192" s="65">
        <v>375.52</v>
      </c>
      <c r="P192" s="65">
        <v>54</v>
      </c>
      <c r="Q192" s="65">
        <v>28692.25</v>
      </c>
      <c r="R192" s="65">
        <v>0</v>
      </c>
      <c r="S192" s="65">
        <v>101</v>
      </c>
      <c r="T192" s="65">
        <f t="shared" si="45"/>
        <v>20971.829999999998</v>
      </c>
      <c r="U192" s="65">
        <v>7352.72</v>
      </c>
      <c r="V192" s="65">
        <v>1088.78</v>
      </c>
      <c r="W192" s="65">
        <v>7076.02</v>
      </c>
      <c r="X192" s="65">
        <v>1989.44</v>
      </c>
      <c r="Y192" s="65">
        <v>3464.87</v>
      </c>
      <c r="Z192" s="65">
        <f t="shared" si="46"/>
        <v>180</v>
      </c>
      <c r="AA192" s="65">
        <f t="shared" si="47"/>
        <v>243051.79999999996</v>
      </c>
      <c r="AB192" s="65">
        <f t="shared" si="48"/>
        <v>8868.43</v>
      </c>
      <c r="AC192" s="65">
        <f t="shared" si="49"/>
        <v>1990.42</v>
      </c>
      <c r="AD192" s="65">
        <f t="shared" si="50"/>
        <v>7901.0400000000009</v>
      </c>
      <c r="AE192" s="65">
        <f t="shared" si="51"/>
        <v>218230.66999999998</v>
      </c>
      <c r="AF192" s="65">
        <f t="shared" si="52"/>
        <v>6061.24</v>
      </c>
      <c r="AG192" s="65">
        <f t="shared" si="53"/>
        <v>180</v>
      </c>
      <c r="AH192" s="65">
        <f t="shared" si="54"/>
        <v>243051.79999999996</v>
      </c>
      <c r="AI192" s="65">
        <v>0</v>
      </c>
      <c r="AJ192" s="65">
        <v>0</v>
      </c>
      <c r="AK192" s="65">
        <v>0</v>
      </c>
      <c r="AL192" s="65">
        <v>0</v>
      </c>
      <c r="AM192" s="65"/>
      <c r="AN192" s="65">
        <f t="shared" si="66"/>
        <v>180</v>
      </c>
      <c r="AO192" s="65">
        <f t="shared" si="42"/>
        <v>243051.79999999996</v>
      </c>
      <c r="AP192" s="65">
        <f t="shared" si="55"/>
        <v>1350.2877777777776</v>
      </c>
    </row>
    <row r="193" spans="1:43" s="226" customFormat="1">
      <c r="A193" s="98" t="s">
        <v>269</v>
      </c>
      <c r="B193" s="426"/>
      <c r="C193" s="426"/>
      <c r="D193" s="427"/>
      <c r="E193" s="99">
        <f>SUMIF($C$7:$C$192,"Décrets",E7:E192)</f>
        <v>4427</v>
      </c>
      <c r="F193" s="99">
        <f>SUM(G193:K193)</f>
        <v>3083900.2599999993</v>
      </c>
      <c r="G193" s="99">
        <f t="shared" ref="G193:L193" si="67">SUMIF($C$7:$C$192,"Décrets",G7:G192)</f>
        <v>351374.37</v>
      </c>
      <c r="H193" s="99">
        <f t="shared" si="67"/>
        <v>38424.22</v>
      </c>
      <c r="I193" s="99">
        <f t="shared" si="67"/>
        <v>218264.34</v>
      </c>
      <c r="J193" s="99">
        <f t="shared" si="67"/>
        <v>2281220.3499999996</v>
      </c>
      <c r="K193" s="99">
        <f t="shared" si="67"/>
        <v>194616.97999999995</v>
      </c>
      <c r="L193" s="99">
        <f t="shared" si="67"/>
        <v>92</v>
      </c>
      <c r="M193" s="99">
        <f>SUM(N193:R193)</f>
        <v>176490.98</v>
      </c>
      <c r="N193" s="99">
        <f t="shared" ref="N193:S193" si="68">SUMIF($C$7:$C$192,"Décrets",N7:N192)</f>
        <v>40427.829999999994</v>
      </c>
      <c r="O193" s="99">
        <f t="shared" si="68"/>
        <v>1109.67</v>
      </c>
      <c r="P193" s="99">
        <f t="shared" si="68"/>
        <v>36040.22</v>
      </c>
      <c r="Q193" s="99">
        <f t="shared" si="68"/>
        <v>86459.05</v>
      </c>
      <c r="R193" s="99">
        <f t="shared" si="68"/>
        <v>12454.21</v>
      </c>
      <c r="S193" s="99">
        <f t="shared" si="68"/>
        <v>33852</v>
      </c>
      <c r="T193" s="99">
        <f>SUM(U193:Y193)</f>
        <v>74236638.950000003</v>
      </c>
      <c r="U193" s="99">
        <f t="shared" ref="U193:Z193" si="69">SUMIF($C$7:$C$192,"Décrets",U7:U192)</f>
        <v>17880586.5</v>
      </c>
      <c r="V193" s="99">
        <f t="shared" si="69"/>
        <v>1653581.9200000002</v>
      </c>
      <c r="W193" s="99">
        <f t="shared" si="69"/>
        <v>9418258.1100000013</v>
      </c>
      <c r="X193" s="99">
        <f t="shared" si="69"/>
        <v>37096632.770000003</v>
      </c>
      <c r="Y193" s="99">
        <f t="shared" si="69"/>
        <v>8187579.6499999994</v>
      </c>
      <c r="Z193" s="99">
        <f t="shared" si="69"/>
        <v>38371</v>
      </c>
      <c r="AA193" s="99">
        <f>SUM(AB193:AF193)</f>
        <v>77497030.190000013</v>
      </c>
      <c r="AB193" s="99">
        <f t="shared" ref="AB193:AO193" si="70">SUMIF($C$7:$C$192,"Décrets",AB7:AB192)</f>
        <v>18272388.699999999</v>
      </c>
      <c r="AC193" s="99">
        <f t="shared" si="70"/>
        <v>1693115.8100000003</v>
      </c>
      <c r="AD193" s="99">
        <f t="shared" si="70"/>
        <v>9672562.6699999999</v>
      </c>
      <c r="AE193" s="99">
        <f t="shared" si="70"/>
        <v>39464312.170000009</v>
      </c>
      <c r="AF193" s="99">
        <f t="shared" si="70"/>
        <v>8394650.8399999999</v>
      </c>
      <c r="AG193" s="99">
        <f t="shared" si="70"/>
        <v>38371</v>
      </c>
      <c r="AH193" s="99">
        <f t="shared" si="70"/>
        <v>77497030.189999998</v>
      </c>
      <c r="AI193" s="99">
        <f t="shared" si="70"/>
        <v>0</v>
      </c>
      <c r="AJ193" s="99">
        <f t="shared" si="70"/>
        <v>0</v>
      </c>
      <c r="AK193" s="99">
        <f t="shared" si="70"/>
        <v>0</v>
      </c>
      <c r="AL193" s="99">
        <f t="shared" si="70"/>
        <v>0</v>
      </c>
      <c r="AM193" s="99">
        <f t="shared" si="70"/>
        <v>3171856.8704113401</v>
      </c>
      <c r="AN193" s="99">
        <f t="shared" si="70"/>
        <v>38371</v>
      </c>
      <c r="AO193" s="99">
        <f t="shared" si="70"/>
        <v>77497030.189999998</v>
      </c>
      <c r="AP193" s="100">
        <f>AO193/AN193</f>
        <v>2019.6771048448047</v>
      </c>
    </row>
    <row r="194" spans="1:43" s="226" customFormat="1">
      <c r="A194" s="129" t="s">
        <v>270</v>
      </c>
      <c r="B194" s="426"/>
      <c r="C194" s="426"/>
      <c r="D194" s="427"/>
      <c r="E194" s="99">
        <f>SUMIF($C$7:$C$192,"Bilatérales",E7:E192)</f>
        <v>55879</v>
      </c>
      <c r="F194" s="99">
        <f>SUM(G194:K194)</f>
        <v>10627394.540000001</v>
      </c>
      <c r="G194" s="99">
        <f t="shared" ref="G194:L194" si="71">SUMIF($C$7:$C$192,"Bilatérales",G7:G192)</f>
        <v>1652447.3300000003</v>
      </c>
      <c r="H194" s="99">
        <f t="shared" si="71"/>
        <v>62271.18</v>
      </c>
      <c r="I194" s="99">
        <f t="shared" si="71"/>
        <v>249284.10000000003</v>
      </c>
      <c r="J194" s="99">
        <f t="shared" si="71"/>
        <v>8446353.4900000002</v>
      </c>
      <c r="K194" s="99">
        <f t="shared" si="71"/>
        <v>217038.43999999994</v>
      </c>
      <c r="L194" s="99">
        <f t="shared" si="71"/>
        <v>2382</v>
      </c>
      <c r="M194" s="99">
        <f>SUM(N194:R194)</f>
        <v>7562987.7700000005</v>
      </c>
      <c r="N194" s="99">
        <f t="shared" ref="N194:S194" si="72">SUMIF($C$7:$C$192,"Bilatérales",N7:N192)</f>
        <v>50860.679999999993</v>
      </c>
      <c r="O194" s="99">
        <f t="shared" si="72"/>
        <v>1183.0999999999999</v>
      </c>
      <c r="P194" s="99">
        <f t="shared" si="72"/>
        <v>7198.52</v>
      </c>
      <c r="Q194" s="99">
        <f t="shared" si="72"/>
        <v>7481366.2500000009</v>
      </c>
      <c r="R194" s="99">
        <f t="shared" si="72"/>
        <v>22379.22</v>
      </c>
      <c r="S194" s="99">
        <f t="shared" si="72"/>
        <v>109265</v>
      </c>
      <c r="T194" s="99">
        <f>SUM(U194:Y194)</f>
        <v>18215280.810000002</v>
      </c>
      <c r="U194" s="99">
        <f t="shared" ref="U194:Z194" si="73">SUMIF($C$7:$C$192,"Bilatérales",U7:U192)</f>
        <v>11609450.170000002</v>
      </c>
      <c r="V194" s="99">
        <f t="shared" si="73"/>
        <v>261182.32999999993</v>
      </c>
      <c r="W194" s="99">
        <f t="shared" si="73"/>
        <v>2169878.9999999995</v>
      </c>
      <c r="X194" s="99">
        <f t="shared" si="73"/>
        <v>2692003.9900000007</v>
      </c>
      <c r="Y194" s="99">
        <f t="shared" si="73"/>
        <v>1482765.3199999996</v>
      </c>
      <c r="Z194" s="99">
        <f t="shared" si="73"/>
        <v>167526</v>
      </c>
      <c r="AA194" s="99">
        <f>SUM(AB194:AF194)</f>
        <v>36405663.120000005</v>
      </c>
      <c r="AB194" s="99">
        <f t="shared" ref="AB194:AO194" si="74">SUMIF($C$7:$C$192,"Bilatérales",AB7:AB192)</f>
        <v>13312758.180000003</v>
      </c>
      <c r="AC194" s="99">
        <f t="shared" si="74"/>
        <v>324636.60999999993</v>
      </c>
      <c r="AD194" s="99">
        <f t="shared" si="74"/>
        <v>2426361.62</v>
      </c>
      <c r="AE194" s="99">
        <f t="shared" si="74"/>
        <v>18619723.730000004</v>
      </c>
      <c r="AF194" s="99">
        <f t="shared" si="74"/>
        <v>1722182.98</v>
      </c>
      <c r="AG194" s="99">
        <f t="shared" si="74"/>
        <v>167526</v>
      </c>
      <c r="AH194" s="99">
        <f t="shared" si="74"/>
        <v>36405663.119999997</v>
      </c>
      <c r="AI194" s="99">
        <f t="shared" si="74"/>
        <v>281368</v>
      </c>
      <c r="AJ194" s="99">
        <f t="shared" si="74"/>
        <v>87454722.916438743</v>
      </c>
      <c r="AK194" s="99">
        <f t="shared" si="74"/>
        <v>1</v>
      </c>
      <c r="AL194" s="99">
        <f t="shared" si="74"/>
        <v>337.88</v>
      </c>
      <c r="AM194" s="99">
        <f t="shared" si="74"/>
        <v>7527166.4272639109</v>
      </c>
      <c r="AN194" s="99">
        <f t="shared" si="74"/>
        <v>448895</v>
      </c>
      <c r="AO194" s="99">
        <f t="shared" si="74"/>
        <v>123860723.91643871</v>
      </c>
      <c r="AP194" s="100">
        <f t="shared" ref="AP194:AP197" si="75">AO194/AN194</f>
        <v>275.92359887376494</v>
      </c>
    </row>
    <row r="195" spans="1:43" s="226" customFormat="1">
      <c r="A195" s="130" t="s">
        <v>271</v>
      </c>
      <c r="B195" s="101"/>
      <c r="C195" s="184"/>
      <c r="D195" s="102"/>
      <c r="E195" s="99">
        <f>SUMIF($C$7:$C$192,"Hors conventions",E7:E192)</f>
        <v>30025</v>
      </c>
      <c r="F195" s="99">
        <f>SUM(G195:K195)</f>
        <v>7556380.8600000003</v>
      </c>
      <c r="G195" s="99">
        <f t="shared" ref="G195:L195" si="76">SUMIF($C$7:$C$192,"Hors conventions",G7:G192)</f>
        <v>1300423.71</v>
      </c>
      <c r="H195" s="99">
        <f t="shared" si="76"/>
        <v>28795.349999999991</v>
      </c>
      <c r="I195" s="99">
        <f t="shared" si="76"/>
        <v>118927.83000000005</v>
      </c>
      <c r="J195" s="99">
        <f t="shared" si="76"/>
        <v>5952983.9399999995</v>
      </c>
      <c r="K195" s="99">
        <f t="shared" si="76"/>
        <v>155250.02999999997</v>
      </c>
      <c r="L195" s="99">
        <f t="shared" si="76"/>
        <v>121</v>
      </c>
      <c r="M195" s="99">
        <f>SUM(N195:R195)</f>
        <v>201081.83</v>
      </c>
      <c r="N195" s="99">
        <f t="shared" ref="N195:S195" si="77">SUMIF($C$7:$C$192,"Hors conventions",N7:N192)</f>
        <v>2658.54</v>
      </c>
      <c r="O195" s="99">
        <f t="shared" si="77"/>
        <v>375.52</v>
      </c>
      <c r="P195" s="99">
        <f t="shared" si="77"/>
        <v>196.51</v>
      </c>
      <c r="Q195" s="99">
        <f t="shared" si="77"/>
        <v>196621.27</v>
      </c>
      <c r="R195" s="99">
        <f t="shared" si="77"/>
        <v>1229.9899999999998</v>
      </c>
      <c r="S195" s="99">
        <f t="shared" si="77"/>
        <v>7389</v>
      </c>
      <c r="T195" s="99">
        <f>SUM(U195:Y195)</f>
        <v>2465387.88</v>
      </c>
      <c r="U195" s="99">
        <f t="shared" ref="U195:Z195" si="78">SUMIF($C$7:$C$192,"Hors conventions",U7:U192)</f>
        <v>459169.66999999975</v>
      </c>
      <c r="V195" s="99">
        <f t="shared" si="78"/>
        <v>116457.29999999999</v>
      </c>
      <c r="W195" s="99">
        <f t="shared" si="78"/>
        <v>497409.2200000002</v>
      </c>
      <c r="X195" s="99">
        <f t="shared" si="78"/>
        <v>1074276.45</v>
      </c>
      <c r="Y195" s="99">
        <f t="shared" si="78"/>
        <v>318075.24000000005</v>
      </c>
      <c r="Z195" s="99">
        <f t="shared" si="78"/>
        <v>37535</v>
      </c>
      <c r="AA195" s="99">
        <f>SUM(AB195:AF195)</f>
        <v>10222850.57</v>
      </c>
      <c r="AB195" s="99">
        <f t="shared" ref="AB195:AO195" si="79">SUMIF($C$7:$C$192,"Hors conventions",AB7:AB192)</f>
        <v>1762251.9200000002</v>
      </c>
      <c r="AC195" s="99">
        <f t="shared" si="79"/>
        <v>145628.16999999998</v>
      </c>
      <c r="AD195" s="99">
        <f t="shared" si="79"/>
        <v>616533.56000000006</v>
      </c>
      <c r="AE195" s="99">
        <f t="shared" si="79"/>
        <v>7223881.6600000001</v>
      </c>
      <c r="AF195" s="99">
        <f t="shared" si="79"/>
        <v>474555.26000000018</v>
      </c>
      <c r="AG195" s="99">
        <f t="shared" si="79"/>
        <v>37535</v>
      </c>
      <c r="AH195" s="99">
        <f t="shared" si="79"/>
        <v>10222850.570000002</v>
      </c>
      <c r="AI195" s="99">
        <f t="shared" si="79"/>
        <v>0</v>
      </c>
      <c r="AJ195" s="99">
        <f t="shared" si="79"/>
        <v>0</v>
      </c>
      <c r="AK195" s="99">
        <f t="shared" si="79"/>
        <v>0</v>
      </c>
      <c r="AL195" s="99">
        <f t="shared" si="79"/>
        <v>0</v>
      </c>
      <c r="AM195" s="99">
        <f t="shared" si="79"/>
        <v>0</v>
      </c>
      <c r="AN195" s="99">
        <f t="shared" si="79"/>
        <v>37535</v>
      </c>
      <c r="AO195" s="99">
        <f t="shared" si="79"/>
        <v>10222850.570000002</v>
      </c>
      <c r="AP195" s="100">
        <f>AO195/AN195</f>
        <v>272.35515039296661</v>
      </c>
    </row>
    <row r="196" spans="1:43" s="2" customFormat="1">
      <c r="A196" s="423" t="s">
        <v>47</v>
      </c>
      <c r="B196" s="424"/>
      <c r="C196" s="424"/>
      <c r="D196" s="425"/>
      <c r="E196" s="11">
        <f t="shared" ref="E196:AO196" si="80">IF(SUM(E7:E192)=SUM(E193:E195),SUM(E193:E195),"Faux")</f>
        <v>90331</v>
      </c>
      <c r="F196" s="11">
        <f t="shared" si="80"/>
        <v>21267675.66</v>
      </c>
      <c r="G196" s="11">
        <f t="shared" si="80"/>
        <v>3304245.41</v>
      </c>
      <c r="H196" s="11">
        <f t="shared" si="80"/>
        <v>129490.74999999999</v>
      </c>
      <c r="I196" s="11">
        <f t="shared" si="80"/>
        <v>586476.27000000014</v>
      </c>
      <c r="J196" s="11">
        <f t="shared" si="80"/>
        <v>16680557.779999999</v>
      </c>
      <c r="K196" s="11">
        <f t="shared" si="80"/>
        <v>566905.44999999995</v>
      </c>
      <c r="L196" s="12">
        <f t="shared" si="80"/>
        <v>2595</v>
      </c>
      <c r="M196" s="12">
        <f t="shared" si="80"/>
        <v>7940560.580000001</v>
      </c>
      <c r="N196" s="12">
        <f t="shared" si="80"/>
        <v>93947.049999999974</v>
      </c>
      <c r="O196" s="12">
        <f t="shared" si="80"/>
        <v>2668.29</v>
      </c>
      <c r="P196" s="12">
        <f t="shared" si="80"/>
        <v>43435.250000000007</v>
      </c>
      <c r="Q196" s="12">
        <f t="shared" si="80"/>
        <v>7764446.5700000003</v>
      </c>
      <c r="R196" s="12">
        <f t="shared" si="80"/>
        <v>36063.42</v>
      </c>
      <c r="S196" s="13">
        <f t="shared" si="80"/>
        <v>150506</v>
      </c>
      <c r="T196" s="13">
        <f t="shared" si="80"/>
        <v>94917307.640000001</v>
      </c>
      <c r="U196" s="13">
        <f t="shared" si="80"/>
        <v>29949206.34</v>
      </c>
      <c r="V196" s="13">
        <f t="shared" si="80"/>
        <v>2031221.55</v>
      </c>
      <c r="W196" s="13">
        <f t="shared" si="80"/>
        <v>12085546.330000002</v>
      </c>
      <c r="X196" s="13">
        <f t="shared" si="80"/>
        <v>40862913.210000008</v>
      </c>
      <c r="Y196" s="13">
        <f t="shared" si="80"/>
        <v>9988420.209999999</v>
      </c>
      <c r="Z196" s="14">
        <f t="shared" si="80"/>
        <v>243432</v>
      </c>
      <c r="AA196" s="14">
        <f t="shared" si="80"/>
        <v>124125543.88000003</v>
      </c>
      <c r="AB196" s="14">
        <f t="shared" si="80"/>
        <v>33347398.800000004</v>
      </c>
      <c r="AC196" s="14">
        <f t="shared" si="80"/>
        <v>2163380.5900000003</v>
      </c>
      <c r="AD196" s="14">
        <f t="shared" si="80"/>
        <v>12715457.85</v>
      </c>
      <c r="AE196" s="14">
        <f t="shared" si="80"/>
        <v>65307917.560000017</v>
      </c>
      <c r="AF196" s="14">
        <f t="shared" si="80"/>
        <v>10591389.08</v>
      </c>
      <c r="AG196" s="15">
        <f t="shared" si="80"/>
        <v>243432</v>
      </c>
      <c r="AH196" s="15">
        <f t="shared" si="80"/>
        <v>124125543.88000001</v>
      </c>
      <c r="AI196" s="92">
        <f t="shared" si="80"/>
        <v>281368</v>
      </c>
      <c r="AJ196" s="92">
        <f t="shared" si="80"/>
        <v>87454722.916438743</v>
      </c>
      <c r="AK196" s="223">
        <f t="shared" si="80"/>
        <v>1</v>
      </c>
      <c r="AL196" s="223">
        <f t="shared" si="80"/>
        <v>337.88</v>
      </c>
      <c r="AM196" s="224">
        <f t="shared" si="80"/>
        <v>10699023.297675252</v>
      </c>
      <c r="AN196" s="16">
        <f t="shared" si="80"/>
        <v>524801</v>
      </c>
      <c r="AO196" s="16">
        <f t="shared" si="80"/>
        <v>211580604.67643869</v>
      </c>
      <c r="AP196" s="16">
        <f t="shared" si="75"/>
        <v>403.16349373655669</v>
      </c>
    </row>
    <row r="197" spans="1:43" s="7" customFormat="1">
      <c r="A197" s="423" t="s">
        <v>267</v>
      </c>
      <c r="B197" s="424"/>
      <c r="C197" s="424"/>
      <c r="D197" s="425" t="s">
        <v>174</v>
      </c>
      <c r="E197" s="11">
        <f>SUMIF($D$7:$D$192,"Oui",E7:E192)</f>
        <v>49612</v>
      </c>
      <c r="F197" s="11">
        <f>SUM(G197:K197)</f>
        <v>11129540.200000001</v>
      </c>
      <c r="G197" s="11">
        <f t="shared" ref="G197:L197" si="81">SUMIF($D$7:$D$192,"Oui",G7:G192)</f>
        <v>1689499.6900000002</v>
      </c>
      <c r="H197" s="11">
        <f t="shared" si="81"/>
        <v>77004.149999999994</v>
      </c>
      <c r="I197" s="11">
        <f t="shared" si="81"/>
        <v>383186.64000000007</v>
      </c>
      <c r="J197" s="11">
        <f t="shared" si="81"/>
        <v>8620094.1699999999</v>
      </c>
      <c r="K197" s="11">
        <f t="shared" si="81"/>
        <v>359755.55000000005</v>
      </c>
      <c r="L197" s="12">
        <f t="shared" si="81"/>
        <v>2423</v>
      </c>
      <c r="M197" s="12">
        <f>SUM(N197:R197)</f>
        <v>7661076.6900000004</v>
      </c>
      <c r="N197" s="12">
        <f t="shared" ref="N197:S197" si="82">SUMIF($D$7:$D$192,"Oui",N7:N192)</f>
        <v>91144.01</v>
      </c>
      <c r="O197" s="12">
        <f t="shared" si="82"/>
        <v>2105.3100000000004</v>
      </c>
      <c r="P197" s="12">
        <f t="shared" si="82"/>
        <v>43218.14</v>
      </c>
      <c r="Q197" s="12">
        <f t="shared" si="82"/>
        <v>7492448.2200000007</v>
      </c>
      <c r="R197" s="12">
        <f t="shared" si="82"/>
        <v>32161.010000000002</v>
      </c>
      <c r="S197" s="13">
        <f t="shared" si="82"/>
        <v>139673</v>
      </c>
      <c r="T197" s="13">
        <f>SUM(U197:Y197)</f>
        <v>91436013.960000008</v>
      </c>
      <c r="U197" s="13">
        <f t="shared" ref="U197:Z197" si="83">SUMIF($D$7:$D$192,"Oui",U7:U192)</f>
        <v>29303319.66</v>
      </c>
      <c r="V197" s="13">
        <f t="shared" si="83"/>
        <v>1853306.8600000003</v>
      </c>
      <c r="W197" s="13">
        <f t="shared" si="83"/>
        <v>11345822.090000002</v>
      </c>
      <c r="X197" s="13">
        <f t="shared" si="83"/>
        <v>39402258.120000005</v>
      </c>
      <c r="Y197" s="13">
        <f t="shared" si="83"/>
        <v>9531307.2299999986</v>
      </c>
      <c r="Z197" s="14">
        <f t="shared" si="83"/>
        <v>191708</v>
      </c>
      <c r="AA197" s="14">
        <f>SUM(AB197:AF197)</f>
        <v>110226630.85000002</v>
      </c>
      <c r="AB197" s="14">
        <f t="shared" ref="AB197:AO197" si="84">SUMIF($D$7:$D$192,"Oui",AB7:AB192)</f>
        <v>31083963.359999999</v>
      </c>
      <c r="AC197" s="14">
        <f t="shared" si="84"/>
        <v>1932416.3200000003</v>
      </c>
      <c r="AD197" s="14">
        <f t="shared" si="84"/>
        <v>11772226.870000003</v>
      </c>
      <c r="AE197" s="14">
        <f t="shared" si="84"/>
        <v>55514800.51000002</v>
      </c>
      <c r="AF197" s="14">
        <f t="shared" si="84"/>
        <v>9923223.7899999972</v>
      </c>
      <c r="AG197" s="15">
        <f t="shared" si="84"/>
        <v>191708</v>
      </c>
      <c r="AH197" s="15">
        <f t="shared" si="84"/>
        <v>110226630.85000001</v>
      </c>
      <c r="AI197" s="92">
        <f t="shared" si="84"/>
        <v>280082</v>
      </c>
      <c r="AJ197" s="92">
        <f t="shared" si="84"/>
        <v>86488385.019945905</v>
      </c>
      <c r="AK197" s="223">
        <f t="shared" si="84"/>
        <v>1</v>
      </c>
      <c r="AL197" s="223">
        <f t="shared" si="84"/>
        <v>337.88</v>
      </c>
      <c r="AM197" s="224">
        <f t="shared" si="84"/>
        <v>10623275.162476419</v>
      </c>
      <c r="AN197" s="16">
        <f t="shared" si="84"/>
        <v>471791</v>
      </c>
      <c r="AO197" s="16">
        <f t="shared" si="84"/>
        <v>196715353.74994582</v>
      </c>
      <c r="AP197" s="16">
        <f t="shared" si="75"/>
        <v>416.95444328091423</v>
      </c>
    </row>
    <row r="198" spans="1:43">
      <c r="A198" s="225" t="s">
        <v>348</v>
      </c>
      <c r="E198" s="26"/>
      <c r="AA198" s="27"/>
      <c r="AO198" s="27"/>
    </row>
    <row r="199" spans="1:43">
      <c r="A199" s="225" t="s">
        <v>349</v>
      </c>
      <c r="E199" s="26"/>
      <c r="AA199" s="27"/>
      <c r="AO199" s="27"/>
    </row>
    <row r="200" spans="1:43">
      <c r="E200" s="26"/>
      <c r="AA200" s="27"/>
      <c r="AO200" s="27"/>
    </row>
    <row r="201" spans="1:43" ht="24" customHeight="1">
      <c r="A201" s="175" t="s">
        <v>286</v>
      </c>
      <c r="E201" s="97"/>
      <c r="S201" s="27"/>
      <c r="Z201" s="27"/>
      <c r="AA201" s="27"/>
      <c r="AM201" s="27"/>
      <c r="AN201" s="27"/>
      <c r="AO201" s="27"/>
      <c r="AP201" s="27"/>
      <c r="AQ201"/>
    </row>
    <row r="202" spans="1:43">
      <c r="A202" s="175" t="s">
        <v>328</v>
      </c>
      <c r="E202" s="27"/>
      <c r="Z202" s="27"/>
      <c r="AA202" s="27"/>
      <c r="AN202" s="171"/>
      <c r="AO202" s="27"/>
      <c r="AP202" s="27"/>
    </row>
    <row r="203" spans="1:43">
      <c r="A203" s="175" t="s">
        <v>329</v>
      </c>
      <c r="E203" s="94"/>
      <c r="AO203" s="27"/>
      <c r="AP203" s="171"/>
      <c r="AQ203"/>
    </row>
    <row r="204" spans="1:43">
      <c r="A204" s="175" t="s">
        <v>330</v>
      </c>
      <c r="D204"/>
      <c r="S204" s="27"/>
      <c r="AO204" s="27"/>
      <c r="AP204" s="171"/>
    </row>
    <row r="205" spans="1:43">
      <c r="A205" s="175" t="s">
        <v>331</v>
      </c>
      <c r="AO205" s="169"/>
    </row>
    <row r="206" spans="1:43">
      <c r="A206" s="175" t="s">
        <v>332</v>
      </c>
      <c r="Z206" s="27"/>
      <c r="AA206" s="27"/>
    </row>
    <row r="207" spans="1:43">
      <c r="A207" s="175" t="s">
        <v>333</v>
      </c>
      <c r="D207"/>
      <c r="Z207" s="27"/>
      <c r="AA207" s="27"/>
      <c r="AJ207" s="27"/>
      <c r="AK207" s="27"/>
      <c r="AL207" s="27"/>
      <c r="AM207" s="27"/>
    </row>
    <row r="209" spans="1:41">
      <c r="A209" s="421"/>
      <c r="B209" s="422"/>
      <c r="C209" s="183"/>
      <c r="H209" s="47"/>
      <c r="I209" s="47"/>
      <c r="J209" s="47"/>
      <c r="K209" s="47"/>
      <c r="L209" s="91"/>
      <c r="O209" s="47"/>
      <c r="P209" s="47"/>
      <c r="Q209" s="47"/>
      <c r="R209" s="47"/>
      <c r="S209" s="47"/>
      <c r="V209" s="47"/>
      <c r="W209" s="47"/>
      <c r="X209" s="47"/>
      <c r="Y209" s="47"/>
      <c r="Z209" s="47"/>
      <c r="AC209" s="47"/>
      <c r="AD209" s="47"/>
      <c r="AE209" s="47"/>
      <c r="AF209" s="47"/>
      <c r="AG209" s="47"/>
      <c r="AH209" s="47"/>
      <c r="AI209" s="47"/>
    </row>
    <row r="210" spans="1:41">
      <c r="B210" s="8"/>
      <c r="C210" s="8"/>
      <c r="AO210" s="94"/>
    </row>
    <row r="211" spans="1:41">
      <c r="L211" s="282"/>
      <c r="M211" s="63"/>
      <c r="N211" s="63"/>
      <c r="O211" s="63"/>
      <c r="AO211" s="94"/>
    </row>
    <row r="212" spans="1:41">
      <c r="L212" s="63"/>
      <c r="M212" s="63"/>
      <c r="N212" s="63"/>
      <c r="O212" s="63"/>
    </row>
    <row r="213" spans="1:41">
      <c r="L213" s="283"/>
      <c r="M213" s="283"/>
      <c r="N213" s="283"/>
      <c r="O213" s="63"/>
      <c r="AO213" s="27"/>
    </row>
    <row r="214" spans="1:41">
      <c r="L214" s="284"/>
      <c r="M214" s="285"/>
      <c r="N214" s="285"/>
      <c r="O214" s="63"/>
      <c r="AO214" s="27"/>
    </row>
    <row r="215" spans="1:41">
      <c r="L215" s="284"/>
      <c r="M215" s="285"/>
      <c r="N215" s="285"/>
      <c r="O215" s="63"/>
      <c r="AO215" s="95"/>
    </row>
    <row r="216" spans="1:41">
      <c r="L216" s="284"/>
      <c r="M216" s="285"/>
      <c r="N216" s="285"/>
      <c r="O216" s="63"/>
    </row>
    <row r="217" spans="1:41">
      <c r="L217" s="255"/>
      <c r="M217" s="256"/>
      <c r="N217" s="256"/>
      <c r="O217" s="63"/>
    </row>
  </sheetData>
  <autoFilter ref="A6:AQ199"/>
  <mergeCells count="38">
    <mergeCell ref="AK4:AL4"/>
    <mergeCell ref="AK5:AK6"/>
    <mergeCell ref="AL5:AL6"/>
    <mergeCell ref="AM4:AM6"/>
    <mergeCell ref="AN4:AP4"/>
    <mergeCell ref="AP5:AP6"/>
    <mergeCell ref="AN5:AN6"/>
    <mergeCell ref="D4:D6"/>
    <mergeCell ref="Z4:AF4"/>
    <mergeCell ref="AI4:AJ4"/>
    <mergeCell ref="Z5:Z6"/>
    <mergeCell ref="AB5:AF5"/>
    <mergeCell ref="L5:L6"/>
    <mergeCell ref="E5:E6"/>
    <mergeCell ref="G5:K5"/>
    <mergeCell ref="U5:Y5"/>
    <mergeCell ref="M5:M6"/>
    <mergeCell ref="AG4:AH4"/>
    <mergeCell ref="AG5:AG6"/>
    <mergeCell ref="AH5:AH6"/>
    <mergeCell ref="L4:R4"/>
    <mergeCell ref="S4:Y4"/>
    <mergeCell ref="A209:B209"/>
    <mergeCell ref="A197:D197"/>
    <mergeCell ref="A196:D196"/>
    <mergeCell ref="AO5:AO6"/>
    <mergeCell ref="S5:S6"/>
    <mergeCell ref="B194:D194"/>
    <mergeCell ref="B193:D193"/>
    <mergeCell ref="B4:B6"/>
    <mergeCell ref="AI5:AI6"/>
    <mergeCell ref="AJ5:AJ6"/>
    <mergeCell ref="E4:K4"/>
    <mergeCell ref="N5:R5"/>
    <mergeCell ref="F5:F6"/>
    <mergeCell ref="T5:T6"/>
    <mergeCell ref="AA5:AA6"/>
    <mergeCell ref="C4:C6"/>
  </mergeCells>
  <hyperlinks>
    <hyperlink ref="A1" location="ACCUEIL!A1" display="ACCUEIL"/>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tabColor theme="9" tint="-0.499984740745262"/>
  </sheetPr>
  <dimension ref="A1:O66"/>
  <sheetViews>
    <sheetView showGridLines="0" zoomScale="85" zoomScaleNormal="85" workbookViewId="0">
      <selection activeCell="T17" sqref="T17"/>
    </sheetView>
  </sheetViews>
  <sheetFormatPr baseColWidth="10" defaultRowHeight="15"/>
  <cols>
    <col min="1" max="1" width="11.42578125" style="25"/>
    <col min="2" max="2" width="21.42578125" style="25" customWidth="1"/>
    <col min="3" max="3" width="17.42578125" style="25" customWidth="1"/>
    <col min="4" max="5" width="10.28515625" style="25" customWidth="1"/>
    <col min="6" max="6" width="12.28515625" style="25" customWidth="1"/>
    <col min="7" max="7" width="13.5703125" style="25" bestFit="1" customWidth="1"/>
    <col min="8" max="9" width="10.28515625" style="25" customWidth="1"/>
    <col min="10" max="10" width="16.42578125" style="25" bestFit="1" customWidth="1"/>
    <col min="11" max="11" width="17.140625" style="25" customWidth="1"/>
    <col min="12" max="12" width="9.42578125" style="25" bestFit="1" customWidth="1"/>
    <col min="13" max="14" width="7.5703125" style="25" customWidth="1"/>
    <col min="15" max="16384" width="11.42578125" style="25"/>
  </cols>
  <sheetData>
    <row r="1" spans="1:15" ht="15.75" thickBot="1">
      <c r="A1" s="28" t="s">
        <v>206</v>
      </c>
    </row>
    <row r="3" spans="1:15">
      <c r="B3" s="29" t="s">
        <v>364</v>
      </c>
    </row>
    <row r="4" spans="1:15">
      <c r="B4" s="4" t="s">
        <v>232</v>
      </c>
    </row>
    <row r="5" spans="1:15">
      <c r="B5" s="4"/>
    </row>
    <row r="6" spans="1:15">
      <c r="C6" s="451" t="s">
        <v>176</v>
      </c>
      <c r="D6" s="453" t="s">
        <v>159</v>
      </c>
      <c r="E6" s="454"/>
      <c r="F6" s="453" t="s">
        <v>160</v>
      </c>
      <c r="G6" s="454"/>
      <c r="H6" s="454"/>
      <c r="I6" s="455"/>
      <c r="L6" s="30" t="s">
        <v>229</v>
      </c>
    </row>
    <row r="7" spans="1:15" ht="25.5">
      <c r="C7" s="452"/>
      <c r="D7" s="31" t="s">
        <v>178</v>
      </c>
      <c r="E7" s="31" t="s">
        <v>179</v>
      </c>
      <c r="F7" s="31" t="s">
        <v>2</v>
      </c>
      <c r="G7" s="31" t="s">
        <v>2</v>
      </c>
      <c r="H7" s="31" t="s">
        <v>179</v>
      </c>
      <c r="I7" s="31" t="s">
        <v>177</v>
      </c>
      <c r="L7" s="30"/>
      <c r="M7" s="450" t="s">
        <v>2</v>
      </c>
      <c r="N7" s="450"/>
    </row>
    <row r="8" spans="1:15">
      <c r="B8" s="249" t="s">
        <v>209</v>
      </c>
      <c r="C8" s="32" t="s">
        <v>43</v>
      </c>
      <c r="D8" s="459">
        <f>SUMPRODUCT(('version consolidée hors UE'!$B$7:$B$192=B8)*('version consolidée hors UE'!$AN$7:$AN$192))</f>
        <v>380002</v>
      </c>
      <c r="E8" s="444">
        <f>D8/$D$57</f>
        <v>0.72408779708880133</v>
      </c>
      <c r="F8" s="33">
        <f>SUMPRODUCT(('version consolidée hors UE'!$B$7:$B$192=$B$8)*('version consolidée hors UE'!$AB$7:$AB$192))</f>
        <v>9918206.3800000008</v>
      </c>
      <c r="G8" s="258"/>
      <c r="H8" s="444">
        <f>G11/$G$60</f>
        <v>0.49094727469699784</v>
      </c>
      <c r="I8" s="415">
        <f>G11/D8</f>
        <v>273.3536172037002</v>
      </c>
      <c r="L8" s="34" t="s">
        <v>359</v>
      </c>
      <c r="M8" s="228">
        <f>COUNTIF($H$8:$H$56,"&lt;0,035")</f>
        <v>3</v>
      </c>
      <c r="N8" s="103">
        <f>SUMIF($H$8:$H$56,"&lt;0,035",$H$8:$H$56)</f>
        <v>1.8177314289530906E-2</v>
      </c>
      <c r="O8" s="57"/>
    </row>
    <row r="9" spans="1:15">
      <c r="B9" s="250"/>
      <c r="C9" s="32" t="s">
        <v>42</v>
      </c>
      <c r="D9" s="460"/>
      <c r="E9" s="445"/>
      <c r="F9" s="33">
        <f>SUMPRODUCT(('version consolidée hors UE'!$B$7:$B$192=$B$8)*('version consolidée hors UE'!$AC$7:$AC$192))</f>
        <v>179860.79000000004</v>
      </c>
      <c r="G9" s="247"/>
      <c r="H9" s="445"/>
      <c r="I9" s="416"/>
      <c r="L9" s="35" t="s">
        <v>360</v>
      </c>
      <c r="M9" s="229">
        <f>COUNTIF($H$8:$H$56,"&lt;0,2")-M8</f>
        <v>2</v>
      </c>
      <c r="N9" s="105">
        <f>SUMIF($H$8:$H$56,"&lt;0,2",$H$8:$H$56)-N8</f>
        <v>0.12297732584145107</v>
      </c>
      <c r="O9" s="57"/>
    </row>
    <row r="10" spans="1:15">
      <c r="B10" s="250"/>
      <c r="C10" s="32" t="s">
        <v>41</v>
      </c>
      <c r="D10" s="460"/>
      <c r="E10" s="445"/>
      <c r="F10" s="33">
        <f>SUMPRODUCT(('version consolidée hors UE'!$B$7:$B$192=$B$8)*('version consolidée hors UE'!$AD$7:$AD$192))</f>
        <v>770395.49000000011</v>
      </c>
      <c r="G10" s="247"/>
      <c r="H10" s="445"/>
      <c r="I10" s="416"/>
      <c r="J10" s="26"/>
      <c r="L10" s="34" t="s">
        <v>262</v>
      </c>
      <c r="M10" s="227">
        <f>COUNTIF($H$8:$H$56,"&lt;0,4")-M9-M8</f>
        <v>1</v>
      </c>
      <c r="N10" s="104">
        <f>SUMIF($H$8:$H$56,"&lt;0,4",$H$8:$H$56)-N9-N8</f>
        <v>0.36789808517202022</v>
      </c>
      <c r="O10" s="57"/>
    </row>
    <row r="11" spans="1:15">
      <c r="B11" s="250"/>
      <c r="C11" s="32" t="s">
        <v>40</v>
      </c>
      <c r="D11" s="460"/>
      <c r="E11" s="445"/>
      <c r="F11" s="33">
        <f>SUMPRODUCT(('version consolidée hors UE'!$B$7:$B$192=$B$8)*('version consolidée hors UE'!$AE$7:$AE$192))</f>
        <v>13861083.640000004</v>
      </c>
      <c r="G11" s="247">
        <f>SUM(F8:F14)</f>
        <v>103874921.24464048</v>
      </c>
      <c r="H11" s="445"/>
      <c r="I11" s="416"/>
      <c r="L11" s="35" t="s">
        <v>263</v>
      </c>
      <c r="M11" s="106">
        <f>COUNTIF($H$8:$H$56,"&gt;=0,4")</f>
        <v>1</v>
      </c>
      <c r="N11" s="107">
        <f>SUMIF($H$8:$H$56,"&gt;=0,4",$H$8:$H$56)</f>
        <v>0.49094727469699784</v>
      </c>
      <c r="O11" s="57"/>
    </row>
    <row r="12" spans="1:15">
      <c r="B12" s="250"/>
      <c r="C12" s="32" t="s">
        <v>39</v>
      </c>
      <c r="D12" s="460"/>
      <c r="E12" s="445"/>
      <c r="F12" s="33">
        <f>SUMPRODUCT(('version consolidée hors UE'!$B$7:$B$192=$B$8)*('version consolidée hors UE'!$AF$7:$AF$192))</f>
        <v>707599.79999999993</v>
      </c>
      <c r="G12" s="247"/>
      <c r="H12" s="445"/>
      <c r="I12" s="416"/>
      <c r="L12" s="36" t="s">
        <v>188</v>
      </c>
      <c r="M12" s="93">
        <f>SUM(M8:M11)</f>
        <v>7</v>
      </c>
      <c r="N12" s="37">
        <f>SUM(N8:N11)</f>
        <v>1</v>
      </c>
      <c r="O12" s="57"/>
    </row>
    <row r="13" spans="1:15">
      <c r="B13" s="250"/>
      <c r="C13" s="32" t="s">
        <v>224</v>
      </c>
      <c r="D13" s="460"/>
      <c r="E13" s="445"/>
      <c r="F13" s="33">
        <f>SUMPRODUCT(('version consolidée hors UE'!$B$7:$B$192=$B$8)*('version consolidée hors UE'!$AJ$7:$AJ$192))</f>
        <v>78437775.144640476</v>
      </c>
      <c r="G13" s="247"/>
      <c r="H13" s="445"/>
      <c r="I13" s="416"/>
    </row>
    <row r="14" spans="1:15">
      <c r="B14" s="251"/>
      <c r="C14" s="32" t="s">
        <v>342</v>
      </c>
      <c r="D14" s="460"/>
      <c r="E14" s="445"/>
      <c r="F14" s="33">
        <f>SUMPRODUCT(('version consolidée hors UE'!$B$7:$B$192=$B$8)*('version consolidée hors UE'!$AL$7:$AL$192))</f>
        <v>0</v>
      </c>
      <c r="G14" s="248"/>
      <c r="H14" s="445"/>
      <c r="I14" s="416"/>
    </row>
    <row r="15" spans="1:15">
      <c r="B15" s="252" t="s">
        <v>211</v>
      </c>
      <c r="C15" s="38" t="s">
        <v>43</v>
      </c>
      <c r="D15" s="459">
        <f>SUMPRODUCT(('version consolidée hors UE'!$B$7:$B$192=B15)*('version consolidée hors UE'!$AN$7:$AN$192))</f>
        <v>33354</v>
      </c>
      <c r="E15" s="444">
        <f>D15/$D$57</f>
        <v>6.355551913963578E-2</v>
      </c>
      <c r="F15" s="39">
        <f>SUMPRODUCT(('version consolidée hors UE'!$B$7:$B$192=$B$15)*('version consolidée hors UE'!$AB$7:$AB$192))</f>
        <v>3131670.0900000008</v>
      </c>
      <c r="G15" s="258"/>
      <c r="H15" s="444">
        <f>G18/$G$60</f>
        <v>5.1895189054740026E-2</v>
      </c>
      <c r="I15" s="415">
        <f>G18/D15</f>
        <v>329.19636265515379</v>
      </c>
    </row>
    <row r="16" spans="1:15">
      <c r="B16" s="253"/>
      <c r="C16" s="38" t="s">
        <v>42</v>
      </c>
      <c r="D16" s="460"/>
      <c r="E16" s="445"/>
      <c r="F16" s="39">
        <f>SUMPRODUCT(('version consolidée hors UE'!$B$7:$B$192=$B$15)*('version consolidée hors UE'!$AC$7:$AC$192))</f>
        <v>126347.25</v>
      </c>
      <c r="G16" s="247"/>
      <c r="H16" s="445"/>
      <c r="I16" s="416"/>
    </row>
    <row r="17" spans="2:12">
      <c r="B17" s="253"/>
      <c r="C17" s="38" t="s">
        <v>41</v>
      </c>
      <c r="D17" s="460"/>
      <c r="E17" s="445"/>
      <c r="F17" s="39">
        <f>SUMPRODUCT(('version consolidée hors UE'!$B$7:$B$192=$B$15)*('version consolidée hors UE'!$AD$7:$AD$192))</f>
        <v>1657481.7899999998</v>
      </c>
      <c r="G17" s="247"/>
      <c r="H17" s="445"/>
      <c r="I17" s="416"/>
    </row>
    <row r="18" spans="2:12">
      <c r="B18" s="253"/>
      <c r="C18" s="38" t="s">
        <v>40</v>
      </c>
      <c r="D18" s="460"/>
      <c r="E18" s="445"/>
      <c r="F18" s="39">
        <f>SUMPRODUCT(('version consolidée hors UE'!$B$7:$B$192=$B$15)*('version consolidée hors UE'!$AE$7:$AE$192))</f>
        <v>5022986.1899999985</v>
      </c>
      <c r="G18" s="247">
        <f>SUM(F15:F21)</f>
        <v>10980015.48</v>
      </c>
      <c r="H18" s="445"/>
      <c r="I18" s="416"/>
      <c r="L18" s="25" t="str">
        <f>"Dépenses = "&amp;TEXT(G60/1000000,"# ###,##")&amp;" millions d'€"</f>
        <v>Dépenses = 211,58 millions d'€</v>
      </c>
    </row>
    <row r="19" spans="2:12">
      <c r="B19" s="253"/>
      <c r="C19" s="38" t="s">
        <v>39</v>
      </c>
      <c r="D19" s="460"/>
      <c r="E19" s="445"/>
      <c r="F19" s="39">
        <f>SUMPRODUCT(('version consolidée hors UE'!$B$7:$B$192=$B$15)*('version consolidée hors UE'!$AF$7:$AF$192))</f>
        <v>1041192.2799999998</v>
      </c>
      <c r="G19" s="247"/>
      <c r="H19" s="445"/>
      <c r="I19" s="416"/>
      <c r="L19" s="25" t="str">
        <f>"Bénéficiaires = "&amp;TEXT(D57,"# ###")</f>
        <v>Bénéficiaires = 524 801</v>
      </c>
    </row>
    <row r="20" spans="2:12">
      <c r="B20" s="253"/>
      <c r="C20" s="38" t="s">
        <v>224</v>
      </c>
      <c r="D20" s="460"/>
      <c r="E20" s="445"/>
      <c r="F20" s="39">
        <f>SUMPRODUCT(('version consolidée hors UE'!$B$7:$B$192=$B$15)*('version consolidée hors UE'!$AJ$7:$AJ$192))</f>
        <v>0</v>
      </c>
      <c r="G20" s="247"/>
      <c r="H20" s="445"/>
      <c r="I20" s="416"/>
    </row>
    <row r="21" spans="2:12">
      <c r="B21" s="253"/>
      <c r="C21" s="38" t="s">
        <v>342</v>
      </c>
      <c r="D21" s="460"/>
      <c r="E21" s="445"/>
      <c r="F21" s="39">
        <f>SUMPRODUCT(('version consolidée hors UE'!$B$7:$B$192=$B$15)*('version consolidée hors UE'!$AL$7:$AL$192))</f>
        <v>337.88</v>
      </c>
      <c r="G21" s="248"/>
      <c r="H21" s="445"/>
      <c r="I21" s="416"/>
    </row>
    <row r="22" spans="2:12">
      <c r="B22" s="249" t="s">
        <v>212</v>
      </c>
      <c r="C22" s="32" t="s">
        <v>43</v>
      </c>
      <c r="D22" s="459">
        <f>SUMPRODUCT(('version consolidée hors UE'!$B$7:$B$192=B22)*('version consolidée hors UE'!$AN$7:$AN$192))</f>
        <v>57434</v>
      </c>
      <c r="E22" s="444">
        <f>D22/$D$57</f>
        <v>0.10943957804958451</v>
      </c>
      <c r="F22" s="33">
        <f>SUMPRODUCT(('version consolidée hors UE'!$B$7:$B$192=$B$22)*('version consolidée hors UE'!$AB$7:$AB$192))</f>
        <v>1412732.1400000001</v>
      </c>
      <c r="G22" s="258"/>
      <c r="H22" s="444">
        <f>G25/$G$60</f>
        <v>7.1082136786711034E-2</v>
      </c>
      <c r="I22" s="415">
        <f>G25/D22</f>
        <v>261.85885508628428</v>
      </c>
    </row>
    <row r="23" spans="2:12">
      <c r="B23" s="250"/>
      <c r="C23" s="32" t="s">
        <v>42</v>
      </c>
      <c r="D23" s="460"/>
      <c r="E23" s="445"/>
      <c r="F23" s="33">
        <f>SUMPRODUCT(('version consolidée hors UE'!$B$7:$B$192=$B$22)*('version consolidée hors UE'!$AC$7:$AC$192))</f>
        <v>97863.179999999978</v>
      </c>
      <c r="G23" s="247"/>
      <c r="H23" s="445"/>
      <c r="I23" s="416"/>
    </row>
    <row r="24" spans="2:12">
      <c r="B24" s="250"/>
      <c r="C24" s="32" t="s">
        <v>41</v>
      </c>
      <c r="D24" s="460"/>
      <c r="E24" s="445"/>
      <c r="F24" s="33">
        <f>SUMPRODUCT(('version consolidée hors UE'!$B$7:$B$192=$B$22)*('version consolidée hors UE'!$AD$7:$AD$192))</f>
        <v>404933.18000000011</v>
      </c>
      <c r="G24" s="247"/>
      <c r="H24" s="445"/>
      <c r="I24" s="416"/>
      <c r="J24" s="26"/>
    </row>
    <row r="25" spans="2:12">
      <c r="B25" s="250"/>
      <c r="C25" s="32" t="s">
        <v>40</v>
      </c>
      <c r="D25" s="460"/>
      <c r="E25" s="445"/>
      <c r="F25" s="33">
        <f>SUMPRODUCT(('version consolidée hors UE'!$B$7:$B$192=$B$22)*('version consolidée hors UE'!$AE$7:$AE$192))</f>
        <v>5716564.2200000007</v>
      </c>
      <c r="G25" s="247">
        <f>SUM(F22:F28)</f>
        <v>15039601.483025651</v>
      </c>
      <c r="H25" s="445"/>
      <c r="I25" s="416"/>
    </row>
    <row r="26" spans="2:12">
      <c r="B26" s="250"/>
      <c r="C26" s="32" t="s">
        <v>39</v>
      </c>
      <c r="D26" s="460"/>
      <c r="E26" s="445"/>
      <c r="F26" s="33">
        <f>SUMPRODUCT(('version consolidée hors UE'!$B$7:$B$192=$B$22)*('version consolidée hors UE'!$AF$7:$AF$192))</f>
        <v>339800.22999999992</v>
      </c>
      <c r="G26" s="247"/>
      <c r="H26" s="445"/>
      <c r="I26" s="416"/>
    </row>
    <row r="27" spans="2:12">
      <c r="B27" s="250"/>
      <c r="C27" s="32" t="s">
        <v>224</v>
      </c>
      <c r="D27" s="460"/>
      <c r="E27" s="445"/>
      <c r="F27" s="33">
        <f>SUMPRODUCT(('version consolidée hors UE'!$B$7:$B$192=$B$22)*('version consolidée hors UE'!$AJ$7:$AJ$192))</f>
        <v>7067708.5330256522</v>
      </c>
      <c r="G27" s="247"/>
      <c r="H27" s="445"/>
      <c r="I27" s="416"/>
    </row>
    <row r="28" spans="2:12">
      <c r="B28" s="250"/>
      <c r="C28" s="32" t="s">
        <v>342</v>
      </c>
      <c r="D28" s="460"/>
      <c r="E28" s="445"/>
      <c r="F28" s="33">
        <f>SUMPRODUCT(('version consolidée hors UE'!$B$7:$B$192=$B$22)*('version consolidée hors UE'!$AL$7:$AL$192))</f>
        <v>0</v>
      </c>
      <c r="G28" s="248"/>
      <c r="H28" s="445"/>
      <c r="I28" s="416"/>
    </row>
    <row r="29" spans="2:12">
      <c r="B29" s="252" t="s">
        <v>210</v>
      </c>
      <c r="C29" s="38" t="s">
        <v>43</v>
      </c>
      <c r="D29" s="459">
        <f>SUMPRODUCT(('version consolidée hors UE'!$B$7:$B$192=B29)*('version consolidée hors UE'!$AN$7:$AN$192))</f>
        <v>10578</v>
      </c>
      <c r="E29" s="444">
        <f>D29/$D$57</f>
        <v>2.0156211592584617E-2</v>
      </c>
      <c r="F29" s="39">
        <f>SUMPRODUCT(('version consolidée hors UE'!$B$7:$B$192=$B$29)*('version consolidée hors UE'!$AB$7:$AB$192))</f>
        <v>431041.00000000006</v>
      </c>
      <c r="G29" s="258"/>
      <c r="H29" s="444">
        <f>G32/$G$60</f>
        <v>1.5880274725137786E-2</v>
      </c>
      <c r="I29" s="415">
        <f>G32/D29</f>
        <v>317.6364273749877</v>
      </c>
    </row>
    <row r="30" spans="2:12">
      <c r="B30" s="253"/>
      <c r="C30" s="38" t="s">
        <v>42</v>
      </c>
      <c r="D30" s="460"/>
      <c r="E30" s="445"/>
      <c r="F30" s="39">
        <f>SUMPRODUCT(('version consolidée hors UE'!$B$7:$B$192=$B$29)*('version consolidée hors UE'!$AC$7:$AC$192))</f>
        <v>58345.87999999999</v>
      </c>
      <c r="G30" s="247"/>
      <c r="H30" s="445"/>
      <c r="I30" s="416"/>
    </row>
    <row r="31" spans="2:12">
      <c r="B31" s="253"/>
      <c r="C31" s="38" t="s">
        <v>41</v>
      </c>
      <c r="D31" s="460"/>
      <c r="E31" s="445"/>
      <c r="F31" s="39">
        <f>SUMPRODUCT(('version consolidée hors UE'!$B$7:$B$192=$B$29)*('version consolidée hors UE'!$AD$7:$AD$192))</f>
        <v>146974.1</v>
      </c>
      <c r="G31" s="247"/>
      <c r="H31" s="445"/>
      <c r="I31" s="416"/>
    </row>
    <row r="32" spans="2:12">
      <c r="B32" s="253"/>
      <c r="C32" s="38" t="s">
        <v>40</v>
      </c>
      <c r="D32" s="460"/>
      <c r="E32" s="445"/>
      <c r="F32" s="39">
        <f>SUMPRODUCT(('version consolidée hors UE'!$B$7:$B$192=$B$29)*('version consolidée hors UE'!$AE$7:$AE$192))</f>
        <v>717106.59000000008</v>
      </c>
      <c r="G32" s="247">
        <f>SUM(F29:F35)</f>
        <v>3359958.1287726201</v>
      </c>
      <c r="H32" s="445"/>
      <c r="I32" s="416"/>
    </row>
    <row r="33" spans="2:12">
      <c r="B33" s="253"/>
      <c r="C33" s="38" t="s">
        <v>39</v>
      </c>
      <c r="D33" s="460"/>
      <c r="E33" s="445"/>
      <c r="F33" s="39">
        <f>SUMPRODUCT(('version consolidée hors UE'!$B$7:$B$192=$B$29)*('version consolidée hors UE'!$AF$7:$AF$192))</f>
        <v>57251.319999999992</v>
      </c>
      <c r="G33" s="247"/>
      <c r="H33" s="445"/>
      <c r="I33" s="416"/>
    </row>
    <row r="34" spans="2:12">
      <c r="B34" s="253"/>
      <c r="C34" s="38" t="s">
        <v>224</v>
      </c>
      <c r="D34" s="460"/>
      <c r="E34" s="445"/>
      <c r="F34" s="39">
        <f>SUMPRODUCT(('version consolidée hors UE'!$B$7:$B$192=$B$29)*('version consolidée hors UE'!$AJ$7:$AJ$192))</f>
        <v>1949239.23877262</v>
      </c>
      <c r="G34" s="247"/>
      <c r="H34" s="445"/>
      <c r="I34" s="416"/>
    </row>
    <row r="35" spans="2:12">
      <c r="B35" s="253"/>
      <c r="C35" s="38" t="s">
        <v>342</v>
      </c>
      <c r="D35" s="460"/>
      <c r="E35" s="445"/>
      <c r="F35" s="39">
        <f>SUMPRODUCT(('version consolidée hors UE'!$B$7:$B$192=$B$29)*('version consolidée hors UE'!$AL$7:$AL$192))</f>
        <v>0</v>
      </c>
      <c r="G35" s="248"/>
      <c r="H35" s="445"/>
      <c r="I35" s="416"/>
    </row>
    <row r="36" spans="2:12">
      <c r="B36" s="249" t="s">
        <v>213</v>
      </c>
      <c r="C36" s="32" t="s">
        <v>43</v>
      </c>
      <c r="D36" s="459">
        <f>SUMPRODUCT(('version consolidée hors UE'!$B$7:$B$192=B36)*('version consolidée hors UE'!$AN$7:$AN$192))</f>
        <v>40059</v>
      </c>
      <c r="E36" s="444">
        <f>D36/$D$57</f>
        <v>7.6331790526313781E-2</v>
      </c>
      <c r="F36" s="33">
        <f>SUMPRODUCT(('version consolidée hors UE'!$B$7:$B$192=$B$36)*('version consolidée hors UE'!$AB$7:$AB$192))</f>
        <v>18359819.82</v>
      </c>
      <c r="G36" s="258"/>
      <c r="H36" s="444">
        <f>G39/$G$60</f>
        <v>0.36789808517202016</v>
      </c>
      <c r="I36" s="415">
        <f>G39/D36</f>
        <v>1943.1363568736112</v>
      </c>
    </row>
    <row r="37" spans="2:12">
      <c r="B37" s="250"/>
      <c r="C37" s="32" t="s">
        <v>42</v>
      </c>
      <c r="D37" s="460"/>
      <c r="E37" s="445"/>
      <c r="F37" s="33">
        <f>SUMPRODUCT(('version consolidée hors UE'!$B$7:$B$192=$B$36)*('version consolidée hors UE'!$AC$7:$AC$192))</f>
        <v>1698507.45</v>
      </c>
      <c r="G37" s="247"/>
      <c r="H37" s="445"/>
      <c r="I37" s="416"/>
      <c r="J37"/>
      <c r="K37"/>
    </row>
    <row r="38" spans="2:12">
      <c r="B38" s="250"/>
      <c r="C38" s="32" t="s">
        <v>41</v>
      </c>
      <c r="D38" s="460"/>
      <c r="E38" s="445"/>
      <c r="F38" s="33">
        <f>SUMPRODUCT(('version consolidée hors UE'!$B$7:$B$192=$B$36)*('version consolidée hors UE'!$AD$7:$AD$192))</f>
        <v>9697433.129999999</v>
      </c>
      <c r="G38" s="247"/>
      <c r="H38" s="445"/>
      <c r="I38" s="416"/>
      <c r="J38" s="236"/>
      <c r="K38" s="236"/>
    </row>
    <row r="39" spans="2:12">
      <c r="B39" s="250"/>
      <c r="C39" s="32" t="s">
        <v>40</v>
      </c>
      <c r="D39" s="460"/>
      <c r="E39" s="445"/>
      <c r="F39" s="33">
        <f>SUMPRODUCT(('version consolidée hors UE'!$B$7:$B$192=$B$36)*('version consolidée hors UE'!$AE$7:$AE$192))</f>
        <v>39677346.700000003</v>
      </c>
      <c r="G39" s="247">
        <f>SUM(F36:F42)</f>
        <v>77840099.319999993</v>
      </c>
      <c r="H39" s="445"/>
      <c r="I39" s="416"/>
      <c r="J39" s="236"/>
      <c r="K39" s="236"/>
      <c r="L39" s="95"/>
    </row>
    <row r="40" spans="2:12">
      <c r="B40" s="250"/>
      <c r="C40" s="32" t="s">
        <v>39</v>
      </c>
      <c r="D40" s="460"/>
      <c r="E40" s="445"/>
      <c r="F40" s="33">
        <f>SUMPRODUCT(('version consolidée hors UE'!$B$7:$B$192=$B$36)*('version consolidée hors UE'!$AF$7:$AF$192))</f>
        <v>8406992.2199999988</v>
      </c>
      <c r="G40" s="247"/>
      <c r="H40" s="445"/>
      <c r="I40" s="416"/>
      <c r="J40" s="169"/>
      <c r="K40" s="169"/>
      <c r="L40" s="95"/>
    </row>
    <row r="41" spans="2:12">
      <c r="B41" s="250"/>
      <c r="C41" s="32" t="s">
        <v>224</v>
      </c>
      <c r="D41" s="460"/>
      <c r="E41" s="445"/>
      <c r="F41" s="33">
        <f>SUMPRODUCT(('version consolidée hors UE'!$B$7:$B$192=$B$36)*('version consolidée hors UE'!$AJ$7:$AJ$192))</f>
        <v>0</v>
      </c>
      <c r="G41" s="247"/>
      <c r="H41" s="445"/>
      <c r="I41" s="416"/>
      <c r="J41" s="259"/>
      <c r="K41" s="259"/>
    </row>
    <row r="42" spans="2:12">
      <c r="B42" s="250"/>
      <c r="C42" s="32" t="s">
        <v>342</v>
      </c>
      <c r="D42" s="460"/>
      <c r="E42" s="445"/>
      <c r="F42" s="33">
        <f>SUMPRODUCT(('version consolidée hors UE'!$B$7:$B$192=$B$36)*('version consolidée hors UE'!$AL$7:$AL$192))</f>
        <v>0</v>
      </c>
      <c r="G42" s="248"/>
      <c r="H42" s="445"/>
      <c r="I42" s="416"/>
      <c r="J42" s="95"/>
      <c r="K42" s="95"/>
    </row>
    <row r="43" spans="2:12">
      <c r="B43" s="249" t="s">
        <v>358</v>
      </c>
      <c r="C43" s="32" t="s">
        <v>43</v>
      </c>
      <c r="D43" s="459">
        <f>SUMPRODUCT(('version consolidée hors UE'!$B$7:$B$192=B43)*('version consolidée hors UE'!$AN$7:$AN$192))</f>
        <v>180</v>
      </c>
      <c r="E43" s="444">
        <f>D43/$D$57</f>
        <v>3.4298715132021471E-4</v>
      </c>
      <c r="F43" s="33">
        <f>SUMPRODUCT(('version consolidée hors UE'!$B$7:$B$192=$B$43)*('version consolidée hors UE'!$AB$7:$AB$192))</f>
        <v>8868.43</v>
      </c>
      <c r="G43" s="258"/>
      <c r="H43" s="444">
        <f>G46/$G$60</f>
        <v>1.1487432903960588E-3</v>
      </c>
      <c r="I43" s="415">
        <f>G46/D43</f>
        <v>1350.2877777777778</v>
      </c>
    </row>
    <row r="44" spans="2:12">
      <c r="B44" s="250"/>
      <c r="C44" s="32" t="s">
        <v>42</v>
      </c>
      <c r="D44" s="460"/>
      <c r="E44" s="445"/>
      <c r="F44" s="33">
        <f>SUMPRODUCT(('version consolidée hors UE'!$B$7:$B$192=$B$43)*('version consolidée hors UE'!$AC$7:$AC$192))</f>
        <v>1990.42</v>
      </c>
      <c r="G44" s="247"/>
      <c r="H44" s="445"/>
      <c r="I44" s="416"/>
    </row>
    <row r="45" spans="2:12">
      <c r="B45" s="250"/>
      <c r="C45" s="32" t="s">
        <v>41</v>
      </c>
      <c r="D45" s="460"/>
      <c r="E45" s="445"/>
      <c r="F45" s="33">
        <f>SUMPRODUCT(('version consolidée hors UE'!$B$7:$B$192=$B$43)*('version consolidée hors UE'!$AD$7:$AD$192))</f>
        <v>7901.0400000000009</v>
      </c>
      <c r="G45" s="247"/>
      <c r="H45" s="445"/>
      <c r="I45" s="416"/>
    </row>
    <row r="46" spans="2:12">
      <c r="B46" s="250"/>
      <c r="C46" s="32" t="s">
        <v>40</v>
      </c>
      <c r="D46" s="460"/>
      <c r="E46" s="445"/>
      <c r="F46" s="33">
        <f>SUMPRODUCT(('version consolidée hors UE'!$B$7:$B$192=$B$43)*('version consolidée hors UE'!$AE$7:$AE$192))</f>
        <v>218230.66999999998</v>
      </c>
      <c r="G46" s="247">
        <f>SUM(F43:F49)</f>
        <v>243051.8</v>
      </c>
      <c r="H46" s="445"/>
      <c r="I46" s="416"/>
    </row>
    <row r="47" spans="2:12">
      <c r="B47" s="250"/>
      <c r="C47" s="32" t="s">
        <v>39</v>
      </c>
      <c r="D47" s="460"/>
      <c r="E47" s="445"/>
      <c r="F47" s="33">
        <f>SUMPRODUCT(('version consolidée hors UE'!$B$7:$B$192=$B$43)*('version consolidée hors UE'!$AF$7:$AF$192))</f>
        <v>6061.24</v>
      </c>
      <c r="G47" s="247"/>
      <c r="H47" s="445"/>
      <c r="I47" s="416"/>
    </row>
    <row r="48" spans="2:12">
      <c r="B48" s="250"/>
      <c r="C48" s="32" t="s">
        <v>224</v>
      </c>
      <c r="D48" s="460"/>
      <c r="E48" s="445"/>
      <c r="F48" s="33">
        <f>SUMPRODUCT(('version consolidée hors UE'!$B$7:$B$192=$B$43)*('version consolidée hors UE'!$AJ$7:$AJ$192))</f>
        <v>0</v>
      </c>
      <c r="G48" s="247"/>
      <c r="H48" s="445"/>
      <c r="I48" s="416"/>
    </row>
    <row r="49" spans="2:11">
      <c r="B49" s="250"/>
      <c r="C49" s="32" t="s">
        <v>342</v>
      </c>
      <c r="D49" s="460"/>
      <c r="E49" s="445"/>
      <c r="F49" s="33">
        <f>SUMPRODUCT(('version consolidée hors UE'!$B$7:$B$192=$B$43)*('version consolidée hors UE'!$AL$7:$AL$192))</f>
        <v>0</v>
      </c>
      <c r="G49" s="248"/>
      <c r="H49" s="445"/>
      <c r="I49" s="416"/>
    </row>
    <row r="50" spans="2:11">
      <c r="B50" s="252" t="s">
        <v>216</v>
      </c>
      <c r="C50" s="38" t="s">
        <v>43</v>
      </c>
      <c r="D50" s="459">
        <f>SUMPRODUCT(('version consolidée hors UE'!$B$7:$B$192=B50)*('version consolidée hors UE'!$AN$7:$AN$192))</f>
        <v>3194</v>
      </c>
      <c r="E50" s="444">
        <f>D50/$D$57</f>
        <v>6.08611645175981E-3</v>
      </c>
      <c r="F50" s="39">
        <f>SUMPRODUCT(('version consolidée hors UE'!$B$7:$B$192=$B$50)*('version consolidée hors UE'!$AB$7:$AB$192))</f>
        <v>85060.939999999973</v>
      </c>
      <c r="G50" s="258"/>
      <c r="H50" s="444">
        <f>G53/$G$60</f>
        <v>1.1482962739970618E-3</v>
      </c>
      <c r="I50" s="415">
        <f>G53/D50</f>
        <v>76.066756418284271</v>
      </c>
    </row>
    <row r="51" spans="2:11">
      <c r="B51" s="253"/>
      <c r="C51" s="38" t="s">
        <v>42</v>
      </c>
      <c r="D51" s="460"/>
      <c r="E51" s="445"/>
      <c r="F51" s="39">
        <f>SUMPRODUCT(('version consolidée hors UE'!$B$7:$B$192=$B$50)*('version consolidée hors UE'!$AC$7:$AC$192))</f>
        <v>465.62</v>
      </c>
      <c r="G51" s="247"/>
      <c r="H51" s="445"/>
      <c r="I51" s="416"/>
    </row>
    <row r="52" spans="2:11">
      <c r="B52" s="253"/>
      <c r="C52" s="38" t="s">
        <v>41</v>
      </c>
      <c r="D52" s="460"/>
      <c r="E52" s="445"/>
      <c r="F52" s="39">
        <f>SUMPRODUCT(('version consolidée hors UE'!$B$7:$B$192=$B$50)*('version consolidée hors UE'!$AD$7:$AD$192))</f>
        <v>30339.119999999999</v>
      </c>
      <c r="G52" s="247"/>
      <c r="H52" s="445"/>
      <c r="I52" s="416"/>
    </row>
    <row r="53" spans="2:11">
      <c r="B53" s="253"/>
      <c r="C53" s="38" t="s">
        <v>40</v>
      </c>
      <c r="D53" s="460"/>
      <c r="E53" s="445"/>
      <c r="F53" s="39">
        <f>SUMPRODUCT(('version consolidée hors UE'!$B$7:$B$192=$B$50)*('version consolidée hors UE'!$AE$7:$AE$192))</f>
        <v>94599.549999999988</v>
      </c>
      <c r="G53" s="247">
        <f>SUM(F50:F56)</f>
        <v>242957.21999999994</v>
      </c>
      <c r="H53" s="445"/>
      <c r="I53" s="416"/>
    </row>
    <row r="54" spans="2:11">
      <c r="B54" s="253"/>
      <c r="C54" s="38" t="s">
        <v>39</v>
      </c>
      <c r="D54" s="460"/>
      <c r="E54" s="445"/>
      <c r="F54" s="39">
        <f>SUMPRODUCT(('version consolidée hors UE'!$B$7:$B$192=$B$50)*('version consolidée hors UE'!$AF$7:$AF$192))</f>
        <v>32491.99</v>
      </c>
      <c r="G54" s="247"/>
      <c r="H54" s="445"/>
      <c r="I54" s="416"/>
    </row>
    <row r="55" spans="2:11">
      <c r="B55" s="253"/>
      <c r="C55" s="38" t="s">
        <v>224</v>
      </c>
      <c r="D55" s="460"/>
      <c r="E55" s="445"/>
      <c r="F55" s="39">
        <f>SUMPRODUCT(('version consolidée hors UE'!$B$7:$B$192=$B$50)*('version consolidée hors UE'!$AJ$7:$AJ$192))</f>
        <v>0</v>
      </c>
      <c r="G55" s="247"/>
      <c r="H55" s="445"/>
      <c r="I55" s="416"/>
    </row>
    <row r="56" spans="2:11">
      <c r="B56" s="253"/>
      <c r="C56" s="38" t="s">
        <v>342</v>
      </c>
      <c r="D56" s="460"/>
      <c r="E56" s="445"/>
      <c r="F56" s="39">
        <f>SUMPRODUCT(('version consolidée hors UE'!$B$7:$B$192=$B$50)*('version consolidée hors UE'!$AL$7:$AL$192))</f>
        <v>0</v>
      </c>
      <c r="G56" s="248"/>
      <c r="H56" s="445"/>
      <c r="I56" s="416"/>
    </row>
    <row r="57" spans="2:11">
      <c r="B57" s="249" t="s">
        <v>217</v>
      </c>
      <c r="C57" s="32" t="s">
        <v>43</v>
      </c>
      <c r="D57" s="459">
        <f>SUM(D8:D56)</f>
        <v>524801</v>
      </c>
      <c r="E57" s="456">
        <f>SUM(E8:E56)</f>
        <v>1</v>
      </c>
      <c r="F57" s="33">
        <f t="shared" ref="F57:F63" si="0">F8+F15+F22+F29+F36+F43+F50</f>
        <v>33347398.800000004</v>
      </c>
      <c r="G57" s="258"/>
      <c r="H57" s="444">
        <f>SUM(H8:H56)</f>
        <v>0.99999999999999989</v>
      </c>
      <c r="I57" s="447">
        <f>G60/D57</f>
        <v>403.1634937365568</v>
      </c>
    </row>
    <row r="58" spans="2:11">
      <c r="B58" s="250"/>
      <c r="C58" s="32" t="s">
        <v>42</v>
      </c>
      <c r="D58" s="460"/>
      <c r="E58" s="457"/>
      <c r="F58" s="33">
        <f t="shared" si="0"/>
        <v>2163380.59</v>
      </c>
      <c r="G58" s="247"/>
      <c r="H58" s="445"/>
      <c r="I58" s="448"/>
      <c r="J58" s="27"/>
    </row>
    <row r="59" spans="2:11">
      <c r="B59" s="250"/>
      <c r="C59" s="32" t="s">
        <v>41</v>
      </c>
      <c r="D59" s="460"/>
      <c r="E59" s="457"/>
      <c r="F59" s="33">
        <f t="shared" si="0"/>
        <v>12715457.849999998</v>
      </c>
      <c r="G59" s="247"/>
      <c r="H59" s="445"/>
      <c r="I59" s="448"/>
    </row>
    <row r="60" spans="2:11">
      <c r="B60" s="250"/>
      <c r="C60" s="32" t="s">
        <v>40</v>
      </c>
      <c r="D60" s="460"/>
      <c r="E60" s="457"/>
      <c r="F60" s="33">
        <f t="shared" si="0"/>
        <v>65307917.560000002</v>
      </c>
      <c r="G60" s="247">
        <f>IF(SUM(F57:F63)=SUM(G9:G56),SUM(F57:F63),"Faux")</f>
        <v>211580604.67643875</v>
      </c>
      <c r="H60" s="445"/>
      <c r="I60" s="448"/>
    </row>
    <row r="61" spans="2:11">
      <c r="B61" s="250"/>
      <c r="C61" s="32" t="s">
        <v>39</v>
      </c>
      <c r="D61" s="460"/>
      <c r="E61" s="457"/>
      <c r="F61" s="33">
        <f t="shared" si="0"/>
        <v>10591389.079999998</v>
      </c>
      <c r="G61" s="247"/>
      <c r="H61" s="445"/>
      <c r="I61" s="448"/>
      <c r="K61" s="27"/>
    </row>
    <row r="62" spans="2:11">
      <c r="B62" s="250"/>
      <c r="C62" s="32" t="s">
        <v>224</v>
      </c>
      <c r="D62" s="460"/>
      <c r="E62" s="457"/>
      <c r="F62" s="33">
        <f t="shared" si="0"/>
        <v>87454722.916438743</v>
      </c>
      <c r="G62" s="247"/>
      <c r="H62" s="445"/>
      <c r="I62" s="448"/>
    </row>
    <row r="63" spans="2:11">
      <c r="B63" s="251"/>
      <c r="C63" s="32" t="s">
        <v>342</v>
      </c>
      <c r="D63" s="461"/>
      <c r="E63" s="458"/>
      <c r="F63" s="33">
        <f t="shared" si="0"/>
        <v>337.88</v>
      </c>
      <c r="G63" s="248"/>
      <c r="H63" s="446"/>
      <c r="I63" s="449"/>
    </row>
    <row r="64" spans="2:11" s="57" customFormat="1">
      <c r="B64" s="58" t="s">
        <v>350</v>
      </c>
    </row>
    <row r="65" spans="2:10">
      <c r="B65" s="90" t="s">
        <v>284</v>
      </c>
      <c r="C65" s="57"/>
      <c r="D65" s="85"/>
      <c r="E65" s="57"/>
      <c r="F65" s="57"/>
      <c r="G65" s="57"/>
      <c r="H65" s="57"/>
      <c r="I65" s="57"/>
      <c r="J65" s="57"/>
    </row>
    <row r="66" spans="2:10">
      <c r="D66" s="27"/>
      <c r="G66" s="26"/>
    </row>
  </sheetData>
  <mergeCells count="36">
    <mergeCell ref="E57:E63"/>
    <mergeCell ref="D8:D14"/>
    <mergeCell ref="D15:D21"/>
    <mergeCell ref="D22:D28"/>
    <mergeCell ref="D29:D35"/>
    <mergeCell ref="D36:D42"/>
    <mergeCell ref="D43:D49"/>
    <mergeCell ref="D50:D56"/>
    <mergeCell ref="D57:D63"/>
    <mergeCell ref="E22:E28"/>
    <mergeCell ref="E29:E35"/>
    <mergeCell ref="E36:E42"/>
    <mergeCell ref="E43:E49"/>
    <mergeCell ref="E50:E56"/>
    <mergeCell ref="C6:C7"/>
    <mergeCell ref="D6:E6"/>
    <mergeCell ref="F6:I6"/>
    <mergeCell ref="E8:E14"/>
    <mergeCell ref="E15:E21"/>
    <mergeCell ref="M7:N7"/>
    <mergeCell ref="H8:H14"/>
    <mergeCell ref="I8:I14"/>
    <mergeCell ref="I15:I21"/>
    <mergeCell ref="H15:H21"/>
    <mergeCell ref="I22:I28"/>
    <mergeCell ref="H29:H35"/>
    <mergeCell ref="I29:I35"/>
    <mergeCell ref="H36:H42"/>
    <mergeCell ref="I36:I42"/>
    <mergeCell ref="H22:H28"/>
    <mergeCell ref="I43:I49"/>
    <mergeCell ref="H50:H56"/>
    <mergeCell ref="I50:I56"/>
    <mergeCell ref="H57:H63"/>
    <mergeCell ref="I57:I63"/>
    <mergeCell ref="H43:H49"/>
  </mergeCells>
  <hyperlinks>
    <hyperlink ref="A1" location="ACCUEIL!A1" display="ACCUEIL"/>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sheetPr>
    <tabColor theme="9" tint="-0.499984740745262"/>
  </sheetPr>
  <dimension ref="A1:AE195"/>
  <sheetViews>
    <sheetView zoomScale="90" zoomScaleNormal="90" workbookViewId="0"/>
  </sheetViews>
  <sheetFormatPr baseColWidth="10" defaultRowHeight="15"/>
  <cols>
    <col min="1" max="1" width="11.42578125" style="25"/>
    <col min="2" max="2" width="38" style="25" bestFit="1" customWidth="1"/>
    <col min="3" max="3" width="17" style="25" customWidth="1"/>
    <col min="4" max="4" width="18.5703125" style="25" customWidth="1"/>
    <col min="5" max="5" width="10.42578125" style="25" customWidth="1"/>
    <col min="6" max="6" width="14.7109375" style="25" customWidth="1"/>
    <col min="7" max="12" width="11.42578125" style="25"/>
    <col min="13" max="13" width="18.85546875" style="25" customWidth="1"/>
    <col min="14" max="14" width="11.42578125" style="25" customWidth="1"/>
    <col min="15" max="15" width="18.5703125" style="25" customWidth="1"/>
    <col min="16" max="16" width="11.42578125" style="25" customWidth="1"/>
    <col min="17" max="17" width="11.42578125" style="57"/>
    <col min="18" max="18" width="37.5703125" style="25" bestFit="1" customWidth="1"/>
    <col min="19" max="19" width="9.5703125" style="25" customWidth="1"/>
    <col min="20" max="20" width="10.5703125" style="25" customWidth="1"/>
    <col min="21" max="22" width="10.42578125" style="25" customWidth="1"/>
    <col min="23" max="24" width="13.5703125" style="25" customWidth="1"/>
    <col min="25" max="25" width="11" style="25" customWidth="1"/>
    <col min="26" max="26" width="10" style="25" customWidth="1"/>
    <col min="27" max="27" width="11.42578125" style="25"/>
    <col min="28" max="28" width="12.85546875" style="25" bestFit="1" customWidth="1"/>
    <col min="29" max="29" width="17.42578125" style="25" bestFit="1" customWidth="1"/>
    <col min="30" max="30" width="27.28515625" style="25" bestFit="1" customWidth="1"/>
    <col min="31" max="31" width="11.42578125" style="57"/>
    <col min="32" max="16384" width="11.42578125" style="25"/>
  </cols>
  <sheetData>
    <row r="1" spans="1:30" ht="15.75" thickBot="1">
      <c r="A1" s="28" t="s">
        <v>206</v>
      </c>
    </row>
    <row r="3" spans="1:30">
      <c r="C3" s="462" t="s">
        <v>259</v>
      </c>
      <c r="D3" s="462"/>
      <c r="E3" s="18" t="s">
        <v>187</v>
      </c>
      <c r="F3" s="71"/>
      <c r="G3" s="46" t="s">
        <v>283</v>
      </c>
      <c r="R3" s="17"/>
      <c r="S3" s="383" t="s">
        <v>195</v>
      </c>
      <c r="T3" s="383"/>
      <c r="U3" s="383" t="s">
        <v>151</v>
      </c>
      <c r="V3" s="383"/>
      <c r="W3" s="383" t="s">
        <v>191</v>
      </c>
      <c r="X3" s="383"/>
      <c r="Y3" s="383" t="s">
        <v>182</v>
      </c>
      <c r="Z3" s="383"/>
      <c r="AB3" s="5" t="str">
        <f>S3</f>
        <v>Soins urgents</v>
      </c>
      <c r="AC3" s="5" t="str">
        <f>U3</f>
        <v>Soins programmés</v>
      </c>
      <c r="AD3" s="5" t="str">
        <f>W3</f>
        <v>Soins liés à la résidence</v>
      </c>
    </row>
    <row r="4" spans="1:30">
      <c r="A4"/>
      <c r="B4" s="86" t="s">
        <v>48</v>
      </c>
      <c r="C4" s="131">
        <f>'version consolidée hors UE'!AN7</f>
        <v>9</v>
      </c>
      <c r="D4" s="22">
        <f>C4/$C$190</f>
        <v>1.7149357566010737E-5</v>
      </c>
      <c r="E4" s="86">
        <f>RANK(C4,$C$4:$C$189)</f>
        <v>128</v>
      </c>
      <c r="F4" s="96"/>
      <c r="O4" s="53" t="str">
        <f>INDEX($B$4:$E$189,MATCH(1,$E$4:$E$189,0),1)</f>
        <v>Algérie</v>
      </c>
      <c r="P4" s="53">
        <f>INDEX($B$4:$E$189,MATCH(1,$E$4:$E$189,0),2)</f>
        <v>200576</v>
      </c>
      <c r="Q4" s="232"/>
      <c r="R4" s="86" t="s">
        <v>48</v>
      </c>
      <c r="S4" s="53">
        <f>'version consolidée hors UE'!E7</f>
        <v>4</v>
      </c>
      <c r="T4" s="62">
        <f>S4/Y4</f>
        <v>0.44444444444444442</v>
      </c>
      <c r="U4" s="53">
        <f>'version consolidée hors UE'!L7</f>
        <v>0</v>
      </c>
      <c r="V4" s="62">
        <f>U4/Y4</f>
        <v>0</v>
      </c>
      <c r="W4" s="53">
        <f>'version consolidée hors UE'!S7+'version consolidée hors UE'!AI7+'version consolidée hors UE'!AK7</f>
        <v>5</v>
      </c>
      <c r="X4" s="62">
        <f>W4/Y4</f>
        <v>0.55555555555555558</v>
      </c>
      <c r="Y4" s="53">
        <f>S4+U4+W4</f>
        <v>9</v>
      </c>
      <c r="Z4" s="62">
        <f>T4+V4+X4</f>
        <v>1</v>
      </c>
      <c r="AB4" s="62">
        <f>S4/$S$190</f>
        <v>4.4281586609248208E-5</v>
      </c>
      <c r="AC4" s="62">
        <f>U4/$U$190</f>
        <v>0</v>
      </c>
      <c r="AD4" s="62">
        <f>W4/$W$190</f>
        <v>1.1577424023154848E-5</v>
      </c>
    </row>
    <row r="5" spans="1:30">
      <c r="A5"/>
      <c r="B5" s="86" t="s">
        <v>49</v>
      </c>
      <c r="C5" s="131">
        <f>'version consolidée hors UE'!AN8</f>
        <v>722</v>
      </c>
      <c r="D5" s="22">
        <f t="shared" ref="D5:D68" si="0">C5/$C$190</f>
        <v>1.3757595736288613E-3</v>
      </c>
      <c r="E5" s="86">
        <f t="shared" ref="E5:E68" si="1">RANK(C5,$C$4:$C$189)</f>
        <v>35</v>
      </c>
      <c r="H5" s="25" t="str">
        <f>"n = "&amp;TEXT(C190,"000 000")</f>
        <v>n = 524 801</v>
      </c>
      <c r="O5" s="53" t="str">
        <f>INDEX($B$4:$E$189,MATCH(2,$E$4:$E$189,0),1)</f>
        <v>Maroc</v>
      </c>
      <c r="P5" s="53">
        <f>INDEX($B$4:$E$189,MATCH(2,$E$4:$E$189,0),2)</f>
        <v>103582</v>
      </c>
      <c r="Q5" s="232"/>
      <c r="R5" s="86" t="s">
        <v>49</v>
      </c>
      <c r="S5" s="53">
        <f>'version consolidée hors UE'!E8</f>
        <v>483</v>
      </c>
      <c r="T5" s="62">
        <f t="shared" ref="T5:T68" si="2">S5/Y5</f>
        <v>0.66897506925207761</v>
      </c>
      <c r="U5" s="53">
        <f>'version consolidée hors UE'!L8</f>
        <v>3</v>
      </c>
      <c r="V5" s="62">
        <f t="shared" ref="V5:V68" si="3">U5/Y5</f>
        <v>4.1551246537396124E-3</v>
      </c>
      <c r="W5" s="53">
        <f>'version consolidée hors UE'!S8+'version consolidée hors UE'!AI8+'version consolidée hors UE'!AK8</f>
        <v>236</v>
      </c>
      <c r="X5" s="62">
        <f t="shared" ref="X5:X68" si="4">W5/Y5</f>
        <v>0.32686980609418281</v>
      </c>
      <c r="Y5" s="53">
        <f t="shared" ref="Y5:Y68" si="5">S5+U5+W5</f>
        <v>722</v>
      </c>
      <c r="Z5" s="62">
        <f t="shared" ref="Z5:Z68" si="6">T5+V5+X5</f>
        <v>1</v>
      </c>
      <c r="AB5" s="62">
        <f t="shared" ref="AB5:AB68" si="7">S5/$S$190</f>
        <v>5.3470015830667213E-3</v>
      </c>
      <c r="AC5" s="62">
        <f t="shared" ref="AC5:AC68" si="8">U5/$U$190</f>
        <v>1.1560693641618498E-3</v>
      </c>
      <c r="AD5" s="62">
        <f t="shared" ref="AD5:AD68" si="9">W5/$W$190</f>
        <v>5.4645441389290881E-4</v>
      </c>
    </row>
    <row r="6" spans="1:30">
      <c r="A6"/>
      <c r="B6" s="86" t="s">
        <v>50</v>
      </c>
      <c r="C6" s="131">
        <f>'version consolidée hors UE'!AN9</f>
        <v>41</v>
      </c>
      <c r="D6" s="22">
        <f t="shared" si="0"/>
        <v>7.8124851134048901E-5</v>
      </c>
      <c r="E6" s="86">
        <f t="shared" si="1"/>
        <v>98</v>
      </c>
      <c r="O6" s="53" t="str">
        <f>INDEX($B$4:$E$189,MATCH(3,$E$4:$E$189,0),1)</f>
        <v>Tunisie</v>
      </c>
      <c r="P6" s="53">
        <f>INDEX($B$4:$E$189,MATCH(3,$E$4:$E$189,0),2)</f>
        <v>39629</v>
      </c>
      <c r="Q6" s="232"/>
      <c r="R6" s="86" t="s">
        <v>50</v>
      </c>
      <c r="S6" s="53">
        <f>'version consolidée hors UE'!E9</f>
        <v>29</v>
      </c>
      <c r="T6" s="62">
        <f t="shared" si="2"/>
        <v>0.70731707317073167</v>
      </c>
      <c r="U6" s="53">
        <f>'version consolidée hors UE'!L9</f>
        <v>2</v>
      </c>
      <c r="V6" s="62">
        <f t="shared" si="3"/>
        <v>4.878048780487805E-2</v>
      </c>
      <c r="W6" s="53">
        <f>'version consolidée hors UE'!S9+'version consolidée hors UE'!AI9+'version consolidée hors UE'!AK9</f>
        <v>10</v>
      </c>
      <c r="X6" s="62">
        <f t="shared" si="4"/>
        <v>0.24390243902439024</v>
      </c>
      <c r="Y6" s="53">
        <f t="shared" si="5"/>
        <v>41</v>
      </c>
      <c r="Z6" s="62">
        <f t="shared" si="6"/>
        <v>1</v>
      </c>
      <c r="AB6" s="62">
        <f t="shared" si="7"/>
        <v>3.2104150291704952E-4</v>
      </c>
      <c r="AC6" s="62">
        <f t="shared" si="8"/>
        <v>7.7071290944123315E-4</v>
      </c>
      <c r="AD6" s="62">
        <f t="shared" si="9"/>
        <v>2.3154848046309695E-5</v>
      </c>
    </row>
    <row r="7" spans="1:30">
      <c r="A7"/>
      <c r="B7" s="86" t="s">
        <v>30</v>
      </c>
      <c r="C7" s="131">
        <f>'version consolidée hors UE'!AN10</f>
        <v>200576</v>
      </c>
      <c r="D7" s="22">
        <f t="shared" si="0"/>
        <v>0.38219439368446323</v>
      </c>
      <c r="E7" s="86">
        <f t="shared" si="1"/>
        <v>1</v>
      </c>
      <c r="O7" s="53" t="str">
        <f>INDEX($B$4:$E$189,MATCH(4,$E$4:$E$189,0),1)</f>
        <v>Turquie</v>
      </c>
      <c r="P7" s="53">
        <f>INDEX($B$4:$E$189,MATCH(4,$E$4:$E$189,0),2)</f>
        <v>34815</v>
      </c>
      <c r="Q7" s="232"/>
      <c r="R7" s="86" t="s">
        <v>30</v>
      </c>
      <c r="S7" s="53">
        <f>'version consolidée hors UE'!E10</f>
        <v>2717</v>
      </c>
      <c r="T7" s="62">
        <f t="shared" si="2"/>
        <v>1.3545987555839183E-2</v>
      </c>
      <c r="U7" s="53">
        <f>'version consolidée hors UE'!L10</f>
        <v>544</v>
      </c>
      <c r="V7" s="62">
        <f t="shared" si="3"/>
        <v>2.7121888959795786E-3</v>
      </c>
      <c r="W7" s="53">
        <f>'version consolidée hors UE'!S10+'version consolidée hors UE'!AI10+'version consolidée hors UE'!AK10</f>
        <v>197315</v>
      </c>
      <c r="X7" s="62">
        <f t="shared" si="4"/>
        <v>0.98374182354818129</v>
      </c>
      <c r="Y7" s="53">
        <f t="shared" si="5"/>
        <v>200576</v>
      </c>
      <c r="Z7" s="62">
        <f t="shared" si="6"/>
        <v>1</v>
      </c>
      <c r="AB7" s="62">
        <f t="shared" si="7"/>
        <v>3.0078267704331845E-2</v>
      </c>
      <c r="AC7" s="62">
        <f t="shared" si="8"/>
        <v>0.2096339113680154</v>
      </c>
      <c r="AD7" s="62">
        <f t="shared" si="9"/>
        <v>0.45687988422575976</v>
      </c>
    </row>
    <row r="8" spans="1:30" ht="17.25">
      <c r="A8"/>
      <c r="B8" s="132" t="s">
        <v>346</v>
      </c>
      <c r="C8" s="131">
        <f>'version consolidée hors UE'!AN11</f>
        <v>0</v>
      </c>
      <c r="D8" s="22">
        <f t="shared" si="0"/>
        <v>0</v>
      </c>
      <c r="E8" s="86">
        <f t="shared" si="1"/>
        <v>168</v>
      </c>
      <c r="O8" s="53" t="str">
        <f>INDEX($B$4:$E$189,MATCH(5,$E$4:$E$189,0),1)</f>
        <v>Polynésie Française</v>
      </c>
      <c r="P8" s="53">
        <f>INDEX($B$4:$E$189,MATCH(5,$E$4:$E$189,0),2)</f>
        <v>30977</v>
      </c>
      <c r="Q8" s="232"/>
      <c r="R8" s="132" t="s">
        <v>346</v>
      </c>
      <c r="S8" s="53">
        <f>'version consolidée hors UE'!E11</f>
        <v>0</v>
      </c>
      <c r="T8" s="62" t="e">
        <f t="shared" si="2"/>
        <v>#DIV/0!</v>
      </c>
      <c r="U8" s="53">
        <f>'version consolidée hors UE'!L11</f>
        <v>0</v>
      </c>
      <c r="V8" s="62" t="e">
        <f t="shared" si="3"/>
        <v>#DIV/0!</v>
      </c>
      <c r="W8" s="53">
        <f>'version consolidée hors UE'!S11+'version consolidée hors UE'!AI11+'version consolidée hors UE'!AK11</f>
        <v>0</v>
      </c>
      <c r="X8" s="62" t="e">
        <f t="shared" si="4"/>
        <v>#DIV/0!</v>
      </c>
      <c r="Y8" s="53">
        <f t="shared" si="5"/>
        <v>0</v>
      </c>
      <c r="Z8" s="62" t="e">
        <f t="shared" si="6"/>
        <v>#DIV/0!</v>
      </c>
      <c r="AB8" s="62">
        <f t="shared" si="7"/>
        <v>0</v>
      </c>
      <c r="AC8" s="62">
        <f t="shared" si="8"/>
        <v>0</v>
      </c>
      <c r="AD8" s="62">
        <f t="shared" si="9"/>
        <v>0</v>
      </c>
    </row>
    <row r="9" spans="1:30">
      <c r="A9"/>
      <c r="B9" s="86" t="s">
        <v>31</v>
      </c>
      <c r="C9" s="131">
        <f>'version consolidée hors UE'!AN12</f>
        <v>2414</v>
      </c>
      <c r="D9" s="22">
        <f t="shared" si="0"/>
        <v>4.5998387960388791E-3</v>
      </c>
      <c r="E9" s="86">
        <f t="shared" si="1"/>
        <v>17</v>
      </c>
      <c r="O9" s="52" t="s">
        <v>189</v>
      </c>
      <c r="P9" s="53">
        <f>C190-P4-P5-P6-P7-P8</f>
        <v>115222</v>
      </c>
      <c r="Q9" s="232"/>
      <c r="R9" s="86" t="s">
        <v>31</v>
      </c>
      <c r="S9" s="53">
        <f>'version consolidée hors UE'!E12</f>
        <v>1037</v>
      </c>
      <c r="T9" s="62">
        <f t="shared" si="2"/>
        <v>0.42957746478873238</v>
      </c>
      <c r="U9" s="53">
        <f>'version consolidée hors UE'!L12</f>
        <v>4</v>
      </c>
      <c r="V9" s="62">
        <f t="shared" si="3"/>
        <v>1.6570008285004142E-3</v>
      </c>
      <c r="W9" s="53">
        <f>'version consolidée hors UE'!S12+'version consolidée hors UE'!AI12+'version consolidée hors UE'!AK12</f>
        <v>1373</v>
      </c>
      <c r="X9" s="62">
        <f t="shared" si="4"/>
        <v>0.56876553438276722</v>
      </c>
      <c r="Y9" s="53">
        <f t="shared" si="5"/>
        <v>2414</v>
      </c>
      <c r="Z9" s="62">
        <f t="shared" si="6"/>
        <v>1</v>
      </c>
      <c r="AB9" s="62">
        <f t="shared" si="7"/>
        <v>1.1480001328447599E-2</v>
      </c>
      <c r="AC9" s="62">
        <f t="shared" si="8"/>
        <v>1.5414258188824663E-3</v>
      </c>
      <c r="AD9" s="62">
        <f t="shared" si="9"/>
        <v>3.1791606367583213E-3</v>
      </c>
    </row>
    <row r="10" spans="1:30">
      <c r="A10"/>
      <c r="B10" s="86" t="s">
        <v>51</v>
      </c>
      <c r="C10" s="131">
        <f>'version consolidée hors UE'!AN13</f>
        <v>26</v>
      </c>
      <c r="D10" s="22">
        <f t="shared" si="0"/>
        <v>4.9542588524031017E-5</v>
      </c>
      <c r="E10" s="86">
        <f t="shared" si="1"/>
        <v>110</v>
      </c>
      <c r="P10" s="27"/>
      <c r="R10" s="86" t="s">
        <v>51</v>
      </c>
      <c r="S10" s="53">
        <f>'version consolidée hors UE'!E13</f>
        <v>3</v>
      </c>
      <c r="T10" s="62">
        <f t="shared" si="2"/>
        <v>0.11538461538461539</v>
      </c>
      <c r="U10" s="53">
        <f>'version consolidée hors UE'!L13</f>
        <v>0</v>
      </c>
      <c r="V10" s="62">
        <f t="shared" si="3"/>
        <v>0</v>
      </c>
      <c r="W10" s="53">
        <f>'version consolidée hors UE'!S13+'version consolidée hors UE'!AI13+'version consolidée hors UE'!AK13</f>
        <v>23</v>
      </c>
      <c r="X10" s="62">
        <f t="shared" si="4"/>
        <v>0.88461538461538458</v>
      </c>
      <c r="Y10" s="53">
        <f t="shared" si="5"/>
        <v>26</v>
      </c>
      <c r="Z10" s="62">
        <f t="shared" si="6"/>
        <v>1</v>
      </c>
      <c r="AB10" s="62">
        <f t="shared" si="7"/>
        <v>3.3211189956936158E-5</v>
      </c>
      <c r="AC10" s="62">
        <f t="shared" si="8"/>
        <v>0</v>
      </c>
      <c r="AD10" s="62">
        <f t="shared" si="9"/>
        <v>5.3256150506512302E-5</v>
      </c>
    </row>
    <row r="11" spans="1:30">
      <c r="A11"/>
      <c r="B11" s="132" t="s">
        <v>296</v>
      </c>
      <c r="C11" s="131">
        <f>'version consolidée hors UE'!AN14</f>
        <v>5</v>
      </c>
      <c r="D11" s="22">
        <f t="shared" si="0"/>
        <v>9.5274208700059641E-6</v>
      </c>
      <c r="E11" s="86">
        <f t="shared" si="1"/>
        <v>140</v>
      </c>
      <c r="R11" s="132" t="s">
        <v>296</v>
      </c>
      <c r="S11" s="53">
        <f>'version consolidée hors UE'!E14</f>
        <v>5</v>
      </c>
      <c r="T11" s="62">
        <f t="shared" si="2"/>
        <v>1</v>
      </c>
      <c r="U11" s="53">
        <f>'version consolidée hors UE'!L14</f>
        <v>0</v>
      </c>
      <c r="V11" s="62">
        <f t="shared" si="3"/>
        <v>0</v>
      </c>
      <c r="W11" s="53">
        <f>'version consolidée hors UE'!S14+'version consolidée hors UE'!AI14+'version consolidée hors UE'!AK14</f>
        <v>0</v>
      </c>
      <c r="X11" s="62">
        <f t="shared" si="4"/>
        <v>0</v>
      </c>
      <c r="Y11" s="53">
        <f t="shared" si="5"/>
        <v>5</v>
      </c>
      <c r="Z11" s="62">
        <f t="shared" si="6"/>
        <v>1</v>
      </c>
      <c r="AB11" s="62">
        <f t="shared" si="7"/>
        <v>5.5351983261560259E-5</v>
      </c>
      <c r="AC11" s="62">
        <f t="shared" si="8"/>
        <v>0</v>
      </c>
      <c r="AD11" s="62">
        <f t="shared" si="9"/>
        <v>0</v>
      </c>
    </row>
    <row r="12" spans="1:30">
      <c r="A12"/>
      <c r="B12" s="86" t="s">
        <v>52</v>
      </c>
      <c r="C12" s="131">
        <f>'version consolidée hors UE'!AN15</f>
        <v>227</v>
      </c>
      <c r="D12" s="22">
        <f t="shared" si="0"/>
        <v>4.325449074982708E-4</v>
      </c>
      <c r="E12" s="86">
        <f t="shared" si="1"/>
        <v>55</v>
      </c>
      <c r="N12" s="94"/>
      <c r="R12" s="86" t="s">
        <v>52</v>
      </c>
      <c r="S12" s="53">
        <f>'version consolidée hors UE'!E15</f>
        <v>60</v>
      </c>
      <c r="T12" s="62">
        <f t="shared" si="2"/>
        <v>0.26431718061674009</v>
      </c>
      <c r="U12" s="53">
        <f>'version consolidée hors UE'!L15</f>
        <v>1</v>
      </c>
      <c r="V12" s="62">
        <f t="shared" si="3"/>
        <v>4.4052863436123352E-3</v>
      </c>
      <c r="W12" s="53">
        <f>'version consolidée hors UE'!S15+'version consolidée hors UE'!AI15+'version consolidée hors UE'!AK15</f>
        <v>166</v>
      </c>
      <c r="X12" s="62">
        <f t="shared" si="4"/>
        <v>0.7312775330396476</v>
      </c>
      <c r="Y12" s="53">
        <f t="shared" si="5"/>
        <v>227</v>
      </c>
      <c r="Z12" s="62">
        <f t="shared" si="6"/>
        <v>1</v>
      </c>
      <c r="AB12" s="62">
        <f t="shared" si="7"/>
        <v>6.642237991387231E-4</v>
      </c>
      <c r="AC12" s="62">
        <f t="shared" si="8"/>
        <v>3.8535645472061658E-4</v>
      </c>
      <c r="AD12" s="62">
        <f t="shared" si="9"/>
        <v>3.8437047756874094E-4</v>
      </c>
    </row>
    <row r="13" spans="1:30">
      <c r="A13"/>
      <c r="B13" s="86" t="s">
        <v>53</v>
      </c>
      <c r="C13" s="131">
        <f>'version consolidée hors UE'!AN16</f>
        <v>495</v>
      </c>
      <c r="D13" s="22">
        <f t="shared" si="0"/>
        <v>9.4321466613059041E-4</v>
      </c>
      <c r="E13" s="86">
        <f t="shared" si="1"/>
        <v>40</v>
      </c>
      <c r="R13" s="86" t="s">
        <v>53</v>
      </c>
      <c r="S13" s="53">
        <f>'version consolidée hors UE'!E16</f>
        <v>355</v>
      </c>
      <c r="T13" s="62">
        <f t="shared" si="2"/>
        <v>0.71717171717171713</v>
      </c>
      <c r="U13" s="53">
        <f>'version consolidée hors UE'!L16</f>
        <v>1</v>
      </c>
      <c r="V13" s="62">
        <f t="shared" si="3"/>
        <v>2.0202020202020202E-3</v>
      </c>
      <c r="W13" s="53">
        <f>'version consolidée hors UE'!S16+'version consolidée hors UE'!AI16+'version consolidée hors UE'!AK16</f>
        <v>139</v>
      </c>
      <c r="X13" s="62">
        <f t="shared" si="4"/>
        <v>0.28080808080808078</v>
      </c>
      <c r="Y13" s="53">
        <f t="shared" si="5"/>
        <v>495</v>
      </c>
      <c r="Z13" s="62">
        <f t="shared" si="6"/>
        <v>1</v>
      </c>
      <c r="AB13" s="62">
        <f t="shared" si="7"/>
        <v>3.9299908115707789E-3</v>
      </c>
      <c r="AC13" s="62">
        <f t="shared" si="8"/>
        <v>3.8535645472061658E-4</v>
      </c>
      <c r="AD13" s="62">
        <f t="shared" si="9"/>
        <v>3.2185238784370476E-4</v>
      </c>
    </row>
    <row r="14" spans="1:30">
      <c r="A14"/>
      <c r="B14" s="86" t="s">
        <v>54</v>
      </c>
      <c r="C14" s="131">
        <f>'version consolidée hors UE'!AN17</f>
        <v>46</v>
      </c>
      <c r="D14" s="22">
        <f t="shared" si="0"/>
        <v>8.7652272004054866E-5</v>
      </c>
      <c r="E14" s="86">
        <f t="shared" si="1"/>
        <v>94</v>
      </c>
      <c r="R14" s="86" t="s">
        <v>54</v>
      </c>
      <c r="S14" s="53">
        <f>'version consolidée hors UE'!E17</f>
        <v>34</v>
      </c>
      <c r="T14" s="62">
        <f t="shared" si="2"/>
        <v>0.73913043478260865</v>
      </c>
      <c r="U14" s="53">
        <f>'version consolidée hors UE'!L17</f>
        <v>0</v>
      </c>
      <c r="V14" s="62">
        <f t="shared" si="3"/>
        <v>0</v>
      </c>
      <c r="W14" s="53">
        <f>'version consolidée hors UE'!S17+'version consolidée hors UE'!AI17+'version consolidée hors UE'!AK17</f>
        <v>12</v>
      </c>
      <c r="X14" s="62">
        <f t="shared" si="4"/>
        <v>0.2608695652173913</v>
      </c>
      <c r="Y14" s="53">
        <f t="shared" si="5"/>
        <v>46</v>
      </c>
      <c r="Z14" s="62">
        <f t="shared" si="6"/>
        <v>1</v>
      </c>
      <c r="AB14" s="62">
        <f t="shared" si="7"/>
        <v>3.7639348617860978E-4</v>
      </c>
      <c r="AC14" s="62">
        <f t="shared" si="8"/>
        <v>0</v>
      </c>
      <c r="AD14" s="62">
        <f t="shared" si="9"/>
        <v>2.7785817655571636E-5</v>
      </c>
    </row>
    <row r="15" spans="1:30">
      <c r="A15"/>
      <c r="B15" s="86" t="s">
        <v>55</v>
      </c>
      <c r="C15" s="131">
        <f>'version consolidée hors UE'!AN18</f>
        <v>1255</v>
      </c>
      <c r="D15" s="22">
        <f t="shared" si="0"/>
        <v>2.3913826383714972E-3</v>
      </c>
      <c r="E15" s="86">
        <f t="shared" si="1"/>
        <v>27</v>
      </c>
      <c r="R15" s="86" t="s">
        <v>55</v>
      </c>
      <c r="S15" s="53">
        <f>'version consolidée hors UE'!E18</f>
        <v>1091</v>
      </c>
      <c r="T15" s="62">
        <f t="shared" si="2"/>
        <v>0.86932270916334664</v>
      </c>
      <c r="U15" s="53">
        <f>'version consolidée hors UE'!L18</f>
        <v>1</v>
      </c>
      <c r="V15" s="62">
        <f t="shared" si="3"/>
        <v>7.9681274900398409E-4</v>
      </c>
      <c r="W15" s="53">
        <f>'version consolidée hors UE'!S18+'version consolidée hors UE'!AI18+'version consolidée hors UE'!AK18</f>
        <v>163</v>
      </c>
      <c r="X15" s="62">
        <f t="shared" si="4"/>
        <v>0.12988047808764941</v>
      </c>
      <c r="Y15" s="53">
        <f t="shared" si="5"/>
        <v>1255</v>
      </c>
      <c r="Z15" s="62">
        <f t="shared" si="6"/>
        <v>1</v>
      </c>
      <c r="AB15" s="62">
        <f t="shared" si="7"/>
        <v>1.2077802747672449E-2</v>
      </c>
      <c r="AC15" s="62">
        <f t="shared" si="8"/>
        <v>3.8535645472061658E-4</v>
      </c>
      <c r="AD15" s="62">
        <f t="shared" si="9"/>
        <v>3.7742402315484806E-4</v>
      </c>
    </row>
    <row r="16" spans="1:30">
      <c r="A16"/>
      <c r="B16" s="86" t="s">
        <v>56</v>
      </c>
      <c r="C16" s="131">
        <f>'version consolidée hors UE'!AN19</f>
        <v>6</v>
      </c>
      <c r="D16" s="22">
        <f t="shared" si="0"/>
        <v>1.1432905044007157E-5</v>
      </c>
      <c r="E16" s="86">
        <f t="shared" si="1"/>
        <v>137</v>
      </c>
      <c r="R16" s="86" t="s">
        <v>56</v>
      </c>
      <c r="S16" s="53">
        <f>'version consolidée hors UE'!E19</f>
        <v>3</v>
      </c>
      <c r="T16" s="62">
        <f t="shared" si="2"/>
        <v>0.5</v>
      </c>
      <c r="U16" s="53">
        <f>'version consolidée hors UE'!L19</f>
        <v>0</v>
      </c>
      <c r="V16" s="62">
        <f t="shared" si="3"/>
        <v>0</v>
      </c>
      <c r="W16" s="53">
        <f>'version consolidée hors UE'!S19+'version consolidée hors UE'!AI19+'version consolidée hors UE'!AK19</f>
        <v>3</v>
      </c>
      <c r="X16" s="62">
        <f t="shared" si="4"/>
        <v>0.5</v>
      </c>
      <c r="Y16" s="53">
        <f t="shared" si="5"/>
        <v>6</v>
      </c>
      <c r="Z16" s="62">
        <f t="shared" si="6"/>
        <v>1</v>
      </c>
      <c r="AB16" s="62">
        <f t="shared" si="7"/>
        <v>3.3211189956936158E-5</v>
      </c>
      <c r="AC16" s="62">
        <f t="shared" si="8"/>
        <v>0</v>
      </c>
      <c r="AD16" s="62">
        <f t="shared" si="9"/>
        <v>6.9464544138929091E-6</v>
      </c>
    </row>
    <row r="17" spans="1:30">
      <c r="A17"/>
      <c r="B17" s="132" t="s">
        <v>297</v>
      </c>
      <c r="C17" s="131">
        <f>'version consolidée hors UE'!AN20</f>
        <v>35</v>
      </c>
      <c r="D17" s="22">
        <f t="shared" si="0"/>
        <v>6.6691946090041747E-5</v>
      </c>
      <c r="E17" s="86">
        <f t="shared" si="1"/>
        <v>101</v>
      </c>
      <c r="R17" s="132" t="s">
        <v>297</v>
      </c>
      <c r="S17" s="53">
        <f>'version consolidée hors UE'!E20</f>
        <v>35</v>
      </c>
      <c r="T17" s="62">
        <f t="shared" si="2"/>
        <v>1</v>
      </c>
      <c r="U17" s="53">
        <f>'version consolidée hors UE'!L20</f>
        <v>0</v>
      </c>
      <c r="V17" s="62">
        <f t="shared" si="3"/>
        <v>0</v>
      </c>
      <c r="W17" s="53">
        <f>'version consolidée hors UE'!S20+'version consolidée hors UE'!AI20+'version consolidée hors UE'!AK20</f>
        <v>0</v>
      </c>
      <c r="X17" s="62">
        <f t="shared" si="4"/>
        <v>0</v>
      </c>
      <c r="Y17" s="53">
        <f t="shared" si="5"/>
        <v>35</v>
      </c>
      <c r="Z17" s="62">
        <f t="shared" si="6"/>
        <v>1</v>
      </c>
      <c r="AB17" s="62">
        <f t="shared" si="7"/>
        <v>3.8746388283092181E-4</v>
      </c>
      <c r="AC17" s="62">
        <f t="shared" si="8"/>
        <v>0</v>
      </c>
      <c r="AD17" s="62">
        <f t="shared" si="9"/>
        <v>0</v>
      </c>
    </row>
    <row r="18" spans="1:30">
      <c r="A18"/>
      <c r="B18" s="86" t="s">
        <v>57</v>
      </c>
      <c r="C18" s="131">
        <f>'version consolidée hors UE'!AN21</f>
        <v>62</v>
      </c>
      <c r="D18" s="22">
        <f t="shared" si="0"/>
        <v>1.1814001878807395E-4</v>
      </c>
      <c r="E18" s="86">
        <f t="shared" si="1"/>
        <v>87</v>
      </c>
      <c r="G18" s="40" t="s">
        <v>284</v>
      </c>
      <c r="R18" s="86" t="s">
        <v>57</v>
      </c>
      <c r="S18" s="53">
        <f>'version consolidée hors UE'!E21</f>
        <v>9</v>
      </c>
      <c r="T18" s="62">
        <f t="shared" si="2"/>
        <v>0.14516129032258066</v>
      </c>
      <c r="U18" s="53">
        <f>'version consolidée hors UE'!L21</f>
        <v>0</v>
      </c>
      <c r="V18" s="62">
        <f t="shared" si="3"/>
        <v>0</v>
      </c>
      <c r="W18" s="53">
        <f>'version consolidée hors UE'!S21+'version consolidée hors UE'!AI21+'version consolidée hors UE'!AK21</f>
        <v>53</v>
      </c>
      <c r="X18" s="62">
        <f t="shared" si="4"/>
        <v>0.85483870967741937</v>
      </c>
      <c r="Y18" s="53">
        <f t="shared" si="5"/>
        <v>62</v>
      </c>
      <c r="Z18" s="62">
        <f t="shared" si="6"/>
        <v>1</v>
      </c>
      <c r="AB18" s="62">
        <f t="shared" si="7"/>
        <v>9.9633569870808474E-5</v>
      </c>
      <c r="AC18" s="62">
        <f t="shared" si="8"/>
        <v>0</v>
      </c>
      <c r="AD18" s="62">
        <f t="shared" si="9"/>
        <v>1.2272069464544139E-4</v>
      </c>
    </row>
    <row r="19" spans="1:30">
      <c r="A19"/>
      <c r="B19" s="86" t="s">
        <v>58</v>
      </c>
      <c r="C19" s="131">
        <f>'version consolidée hors UE'!AN22</f>
        <v>4</v>
      </c>
      <c r="D19" s="22">
        <f t="shared" si="0"/>
        <v>7.6219366960047713E-6</v>
      </c>
      <c r="E19" s="86">
        <f t="shared" si="1"/>
        <v>144</v>
      </c>
      <c r="R19" s="86" t="s">
        <v>58</v>
      </c>
      <c r="S19" s="53">
        <f>'version consolidée hors UE'!E22</f>
        <v>1</v>
      </c>
      <c r="T19" s="62">
        <f t="shared" si="2"/>
        <v>0.25</v>
      </c>
      <c r="U19" s="53">
        <f>'version consolidée hors UE'!L22</f>
        <v>0</v>
      </c>
      <c r="V19" s="62">
        <f t="shared" si="3"/>
        <v>0</v>
      </c>
      <c r="W19" s="53">
        <f>'version consolidée hors UE'!S22+'version consolidée hors UE'!AI22+'version consolidée hors UE'!AK22</f>
        <v>3</v>
      </c>
      <c r="X19" s="62">
        <f t="shared" si="4"/>
        <v>0.75</v>
      </c>
      <c r="Y19" s="53">
        <f t="shared" si="5"/>
        <v>4</v>
      </c>
      <c r="Z19" s="62">
        <f t="shared" si="6"/>
        <v>1</v>
      </c>
      <c r="AB19" s="62">
        <f t="shared" si="7"/>
        <v>1.1070396652312052E-5</v>
      </c>
      <c r="AC19" s="62">
        <f t="shared" si="8"/>
        <v>0</v>
      </c>
      <c r="AD19" s="62">
        <f t="shared" si="9"/>
        <v>6.9464544138929091E-6</v>
      </c>
    </row>
    <row r="20" spans="1:30">
      <c r="A20"/>
      <c r="B20" s="132" t="s">
        <v>298</v>
      </c>
      <c r="C20" s="131">
        <f>'version consolidée hors UE'!AN23</f>
        <v>13</v>
      </c>
      <c r="D20" s="22">
        <f t="shared" si="0"/>
        <v>2.4771294262015508E-5</v>
      </c>
      <c r="E20" s="86">
        <f t="shared" si="1"/>
        <v>122</v>
      </c>
      <c r="G20" s="27"/>
      <c r="H20" s="27"/>
      <c r="R20" s="132" t="s">
        <v>298</v>
      </c>
      <c r="S20" s="53">
        <f>'version consolidée hors UE'!E23</f>
        <v>13</v>
      </c>
      <c r="T20" s="62">
        <f t="shared" si="2"/>
        <v>1</v>
      </c>
      <c r="U20" s="53">
        <f>'version consolidée hors UE'!L23</f>
        <v>0</v>
      </c>
      <c r="V20" s="62">
        <f t="shared" si="3"/>
        <v>0</v>
      </c>
      <c r="W20" s="53">
        <f>'version consolidée hors UE'!S23+'version consolidée hors UE'!AI23+'version consolidée hors UE'!AK23</f>
        <v>0</v>
      </c>
      <c r="X20" s="62">
        <f t="shared" si="4"/>
        <v>0</v>
      </c>
      <c r="Y20" s="53">
        <f t="shared" si="5"/>
        <v>13</v>
      </c>
      <c r="Z20" s="62">
        <f t="shared" si="6"/>
        <v>1</v>
      </c>
      <c r="AB20" s="62">
        <f t="shared" si="7"/>
        <v>1.4391515648005669E-4</v>
      </c>
      <c r="AC20" s="62">
        <f t="shared" si="8"/>
        <v>0</v>
      </c>
      <c r="AD20" s="62">
        <f t="shared" si="9"/>
        <v>0</v>
      </c>
    </row>
    <row r="21" spans="1:30" ht="15.75" customHeight="1">
      <c r="A21"/>
      <c r="B21" s="86" t="s">
        <v>161</v>
      </c>
      <c r="C21" s="131">
        <f>'version consolidée hors UE'!AN24</f>
        <v>13</v>
      </c>
      <c r="D21" s="22">
        <f t="shared" si="0"/>
        <v>2.4771294262015508E-5</v>
      </c>
      <c r="E21" s="86">
        <f t="shared" si="1"/>
        <v>122</v>
      </c>
      <c r="R21" s="86" t="s">
        <v>161</v>
      </c>
      <c r="S21" s="53">
        <f>'version consolidée hors UE'!E24</f>
        <v>11</v>
      </c>
      <c r="T21" s="62">
        <f t="shared" si="2"/>
        <v>0.84615384615384615</v>
      </c>
      <c r="U21" s="53">
        <f>'version consolidée hors UE'!L24</f>
        <v>0</v>
      </c>
      <c r="V21" s="62">
        <f t="shared" si="3"/>
        <v>0</v>
      </c>
      <c r="W21" s="53">
        <f>'version consolidée hors UE'!S24+'version consolidée hors UE'!AI24+'version consolidée hors UE'!AK24</f>
        <v>2</v>
      </c>
      <c r="X21" s="62">
        <f t="shared" si="4"/>
        <v>0.15384615384615385</v>
      </c>
      <c r="Y21" s="53">
        <f t="shared" si="5"/>
        <v>13</v>
      </c>
      <c r="Z21" s="62">
        <f t="shared" si="6"/>
        <v>1</v>
      </c>
      <c r="AB21" s="62">
        <f t="shared" si="7"/>
        <v>1.2177436317543257E-4</v>
      </c>
      <c r="AC21" s="62">
        <f t="shared" si="8"/>
        <v>0</v>
      </c>
      <c r="AD21" s="62">
        <f t="shared" si="9"/>
        <v>4.6309696092619394E-6</v>
      </c>
    </row>
    <row r="22" spans="1:30" ht="16.5" customHeight="1">
      <c r="A22"/>
      <c r="B22" s="86" t="s">
        <v>153</v>
      </c>
      <c r="C22" s="131">
        <f>'version consolidée hors UE'!AN25</f>
        <v>246</v>
      </c>
      <c r="D22" s="22">
        <f t="shared" si="0"/>
        <v>4.6874910680429346E-4</v>
      </c>
      <c r="E22" s="86">
        <f t="shared" si="1"/>
        <v>52</v>
      </c>
      <c r="G22" s="47"/>
      <c r="H22" s="47"/>
      <c r="M22" s="27"/>
      <c r="R22" s="86" t="s">
        <v>153</v>
      </c>
      <c r="S22" s="53">
        <f>'version consolidée hors UE'!E25</f>
        <v>125</v>
      </c>
      <c r="T22" s="62">
        <f t="shared" si="2"/>
        <v>0.50813008130081305</v>
      </c>
      <c r="U22" s="53">
        <f>'version consolidée hors UE'!L25</f>
        <v>6</v>
      </c>
      <c r="V22" s="62">
        <f t="shared" si="3"/>
        <v>2.4390243902439025E-2</v>
      </c>
      <c r="W22" s="53">
        <f>'version consolidée hors UE'!S25+'version consolidée hors UE'!AI25+'version consolidée hors UE'!AK25</f>
        <v>115</v>
      </c>
      <c r="X22" s="62">
        <f t="shared" si="4"/>
        <v>0.46747967479674796</v>
      </c>
      <c r="Y22" s="53">
        <f t="shared" si="5"/>
        <v>246</v>
      </c>
      <c r="Z22" s="62">
        <f t="shared" si="6"/>
        <v>1</v>
      </c>
      <c r="AB22" s="62">
        <f t="shared" si="7"/>
        <v>1.3837995815390066E-3</v>
      </c>
      <c r="AC22" s="62">
        <f t="shared" si="8"/>
        <v>2.3121387283236996E-3</v>
      </c>
      <c r="AD22" s="62">
        <f t="shared" si="9"/>
        <v>2.6628075253256153E-4</v>
      </c>
    </row>
    <row r="23" spans="1:30">
      <c r="A23"/>
      <c r="B23" s="132" t="s">
        <v>299</v>
      </c>
      <c r="C23" s="131">
        <f>'version consolidée hors UE'!AN26</f>
        <v>0</v>
      </c>
      <c r="D23" s="22">
        <f t="shared" si="0"/>
        <v>0</v>
      </c>
      <c r="E23" s="86">
        <f t="shared" si="1"/>
        <v>168</v>
      </c>
      <c r="M23" s="27"/>
      <c r="R23" s="132" t="s">
        <v>299</v>
      </c>
      <c r="S23" s="53">
        <f>'version consolidée hors UE'!E26</f>
        <v>0</v>
      </c>
      <c r="T23" s="62" t="e">
        <f t="shared" si="2"/>
        <v>#DIV/0!</v>
      </c>
      <c r="U23" s="53">
        <f>'version consolidée hors UE'!L26</f>
        <v>0</v>
      </c>
      <c r="V23" s="62" t="e">
        <f t="shared" si="3"/>
        <v>#DIV/0!</v>
      </c>
      <c r="W23" s="53">
        <f>'version consolidée hors UE'!S26+'version consolidée hors UE'!AI26+'version consolidée hors UE'!AK26</f>
        <v>0</v>
      </c>
      <c r="X23" s="62" t="e">
        <f t="shared" si="4"/>
        <v>#DIV/0!</v>
      </c>
      <c r="Y23" s="53">
        <f t="shared" si="5"/>
        <v>0</v>
      </c>
      <c r="Z23" s="62" t="e">
        <f t="shared" si="6"/>
        <v>#DIV/0!</v>
      </c>
      <c r="AB23" s="62">
        <f t="shared" si="7"/>
        <v>0</v>
      </c>
      <c r="AC23" s="62">
        <f t="shared" si="8"/>
        <v>0</v>
      </c>
      <c r="AD23" s="62">
        <f t="shared" si="9"/>
        <v>0</v>
      </c>
    </row>
    <row r="24" spans="1:30">
      <c r="A24"/>
      <c r="B24" s="86" t="s">
        <v>162</v>
      </c>
      <c r="C24" s="131">
        <f>'version consolidée hors UE'!AN27</f>
        <v>9</v>
      </c>
      <c r="D24" s="22">
        <f t="shared" si="0"/>
        <v>1.7149357566010737E-5</v>
      </c>
      <c r="E24" s="86">
        <f t="shared" si="1"/>
        <v>128</v>
      </c>
      <c r="G24" s="47"/>
      <c r="M24" s="94"/>
      <c r="R24" s="86" t="s">
        <v>162</v>
      </c>
      <c r="S24" s="53">
        <f>'version consolidée hors UE'!E27</f>
        <v>9</v>
      </c>
      <c r="T24" s="62">
        <f t="shared" si="2"/>
        <v>1</v>
      </c>
      <c r="U24" s="53">
        <f>'version consolidée hors UE'!L27</f>
        <v>0</v>
      </c>
      <c r="V24" s="62">
        <f t="shared" si="3"/>
        <v>0</v>
      </c>
      <c r="W24" s="53">
        <f>'version consolidée hors UE'!S27+'version consolidée hors UE'!AI27+'version consolidée hors UE'!AK27</f>
        <v>0</v>
      </c>
      <c r="X24" s="62">
        <f t="shared" si="4"/>
        <v>0</v>
      </c>
      <c r="Y24" s="53">
        <f t="shared" si="5"/>
        <v>9</v>
      </c>
      <c r="Z24" s="62">
        <f t="shared" si="6"/>
        <v>1</v>
      </c>
      <c r="AB24" s="62">
        <f t="shared" si="7"/>
        <v>9.9633569870808474E-5</v>
      </c>
      <c r="AC24" s="62">
        <f t="shared" si="8"/>
        <v>0</v>
      </c>
      <c r="AD24" s="62">
        <f t="shared" si="9"/>
        <v>0</v>
      </c>
    </row>
    <row r="25" spans="1:30">
      <c r="A25"/>
      <c r="B25" s="86" t="s">
        <v>59</v>
      </c>
      <c r="C25" s="131">
        <f>'version consolidée hors UE'!AN28</f>
        <v>149</v>
      </c>
      <c r="D25" s="22">
        <f t="shared" si="0"/>
        <v>2.8391714192617775E-4</v>
      </c>
      <c r="E25" s="86">
        <f t="shared" si="1"/>
        <v>64</v>
      </c>
      <c r="R25" s="86" t="s">
        <v>59</v>
      </c>
      <c r="S25" s="53">
        <f>'version consolidée hors UE'!E28</f>
        <v>143</v>
      </c>
      <c r="T25" s="62">
        <f t="shared" si="2"/>
        <v>0.95973154362416102</v>
      </c>
      <c r="U25" s="53">
        <f>'version consolidée hors UE'!L28</f>
        <v>0</v>
      </c>
      <c r="V25" s="62">
        <f t="shared" si="3"/>
        <v>0</v>
      </c>
      <c r="W25" s="53">
        <f>'version consolidée hors UE'!S28+'version consolidée hors UE'!AI28+'version consolidée hors UE'!AK28</f>
        <v>6</v>
      </c>
      <c r="X25" s="62">
        <f t="shared" si="4"/>
        <v>4.0268456375838924E-2</v>
      </c>
      <c r="Y25" s="53">
        <f t="shared" si="5"/>
        <v>149</v>
      </c>
      <c r="Z25" s="62">
        <f t="shared" si="6"/>
        <v>1</v>
      </c>
      <c r="AB25" s="62">
        <f t="shared" si="7"/>
        <v>1.5830667212806235E-3</v>
      </c>
      <c r="AC25" s="62">
        <f t="shared" si="8"/>
        <v>0</v>
      </c>
      <c r="AD25" s="62">
        <f t="shared" si="9"/>
        <v>1.3892908827785818E-5</v>
      </c>
    </row>
    <row r="26" spans="1:30">
      <c r="A26"/>
      <c r="B26" s="86" t="s">
        <v>60</v>
      </c>
      <c r="C26" s="131">
        <f>'version consolidée hors UE'!AN29</f>
        <v>256</v>
      </c>
      <c r="D26" s="22">
        <f t="shared" si="0"/>
        <v>4.8780394854430536E-4</v>
      </c>
      <c r="E26" s="86">
        <f t="shared" si="1"/>
        <v>50</v>
      </c>
      <c r="M26" s="94"/>
      <c r="R26" s="86" t="s">
        <v>60</v>
      </c>
      <c r="S26" s="53">
        <f>'version consolidée hors UE'!E29</f>
        <v>171</v>
      </c>
      <c r="T26" s="62">
        <f t="shared" si="2"/>
        <v>0.66796875</v>
      </c>
      <c r="U26" s="53">
        <f>'version consolidée hors UE'!L29</f>
        <v>0</v>
      </c>
      <c r="V26" s="62">
        <f t="shared" si="3"/>
        <v>0</v>
      </c>
      <c r="W26" s="53">
        <f>'version consolidée hors UE'!S29+'version consolidée hors UE'!AI29+'version consolidée hors UE'!AK29</f>
        <v>85</v>
      </c>
      <c r="X26" s="62">
        <f t="shared" si="4"/>
        <v>0.33203125</v>
      </c>
      <c r="Y26" s="53">
        <f t="shared" si="5"/>
        <v>256</v>
      </c>
      <c r="Z26" s="62">
        <f t="shared" si="6"/>
        <v>1</v>
      </c>
      <c r="AB26" s="62">
        <f t="shared" si="7"/>
        <v>1.893037827545361E-3</v>
      </c>
      <c r="AC26" s="62">
        <f t="shared" si="8"/>
        <v>0</v>
      </c>
      <c r="AD26" s="62">
        <f t="shared" si="9"/>
        <v>1.9681620839363242E-4</v>
      </c>
    </row>
    <row r="27" spans="1:30">
      <c r="A27"/>
      <c r="B27" s="86" t="s">
        <v>154</v>
      </c>
      <c r="C27" s="131">
        <f>'version consolidée hors UE'!AN30</f>
        <v>146</v>
      </c>
      <c r="D27" s="22">
        <f t="shared" si="0"/>
        <v>2.7820068940417414E-4</v>
      </c>
      <c r="E27" s="86">
        <f t="shared" si="1"/>
        <v>65</v>
      </c>
      <c r="R27" s="86" t="s">
        <v>154</v>
      </c>
      <c r="S27" s="53">
        <f>'version consolidée hors UE'!E30</f>
        <v>136</v>
      </c>
      <c r="T27" s="62">
        <f t="shared" si="2"/>
        <v>0.93150684931506844</v>
      </c>
      <c r="U27" s="53">
        <f>'version consolidée hors UE'!L30</f>
        <v>0</v>
      </c>
      <c r="V27" s="62">
        <f t="shared" si="3"/>
        <v>0</v>
      </c>
      <c r="W27" s="53">
        <f>'version consolidée hors UE'!S30+'version consolidée hors UE'!AI30+'version consolidée hors UE'!AK30</f>
        <v>10</v>
      </c>
      <c r="X27" s="62">
        <f t="shared" si="4"/>
        <v>6.8493150684931503E-2</v>
      </c>
      <c r="Y27" s="53">
        <f t="shared" si="5"/>
        <v>146</v>
      </c>
      <c r="Z27" s="62">
        <f t="shared" si="6"/>
        <v>1</v>
      </c>
      <c r="AB27" s="62">
        <f t="shared" si="7"/>
        <v>1.5055739447144391E-3</v>
      </c>
      <c r="AC27" s="62">
        <f t="shared" si="8"/>
        <v>0</v>
      </c>
      <c r="AD27" s="62">
        <f t="shared" si="9"/>
        <v>2.3154848046309695E-5</v>
      </c>
    </row>
    <row r="28" spans="1:30">
      <c r="A28"/>
      <c r="B28" s="86" t="s">
        <v>214</v>
      </c>
      <c r="C28" s="131">
        <f>'version consolidée hors UE'!AN31</f>
        <v>11</v>
      </c>
      <c r="D28" s="22">
        <f t="shared" si="0"/>
        <v>2.0960325914013123E-5</v>
      </c>
      <c r="E28" s="86">
        <f t="shared" si="1"/>
        <v>126</v>
      </c>
      <c r="R28" s="86" t="s">
        <v>214</v>
      </c>
      <c r="S28" s="53">
        <f>'version consolidée hors UE'!E31</f>
        <v>5</v>
      </c>
      <c r="T28" s="62">
        <f t="shared" si="2"/>
        <v>0.45454545454545453</v>
      </c>
      <c r="U28" s="53">
        <f>'version consolidée hors UE'!L31</f>
        <v>0</v>
      </c>
      <c r="V28" s="62">
        <f t="shared" si="3"/>
        <v>0</v>
      </c>
      <c r="W28" s="53">
        <f>'version consolidée hors UE'!S31+'version consolidée hors UE'!AI31+'version consolidée hors UE'!AK31</f>
        <v>6</v>
      </c>
      <c r="X28" s="62">
        <f t="shared" si="4"/>
        <v>0.54545454545454541</v>
      </c>
      <c r="Y28" s="53">
        <f t="shared" si="5"/>
        <v>11</v>
      </c>
      <c r="Z28" s="62">
        <f t="shared" si="6"/>
        <v>1</v>
      </c>
      <c r="AB28" s="62">
        <f t="shared" si="7"/>
        <v>5.5351983261560259E-5</v>
      </c>
      <c r="AC28" s="62">
        <f t="shared" si="8"/>
        <v>0</v>
      </c>
      <c r="AD28" s="62">
        <f t="shared" si="9"/>
        <v>1.3892908827785818E-5</v>
      </c>
    </row>
    <row r="29" spans="1:30">
      <c r="A29"/>
      <c r="B29" s="86" t="s">
        <v>163</v>
      </c>
      <c r="C29" s="131">
        <f>'version consolidée hors UE'!AN32</f>
        <v>1436</v>
      </c>
      <c r="D29" s="22">
        <f t="shared" si="0"/>
        <v>2.7362752738657129E-3</v>
      </c>
      <c r="E29" s="86">
        <f t="shared" si="1"/>
        <v>23</v>
      </c>
      <c r="R29" s="86" t="s">
        <v>163</v>
      </c>
      <c r="S29" s="53">
        <f>'version consolidée hors UE'!E32</f>
        <v>874</v>
      </c>
      <c r="T29" s="62">
        <f t="shared" si="2"/>
        <v>0.60863509749303624</v>
      </c>
      <c r="U29" s="53">
        <f>'version consolidée hors UE'!L32</f>
        <v>3</v>
      </c>
      <c r="V29" s="62">
        <f t="shared" si="3"/>
        <v>2.0891364902506965E-3</v>
      </c>
      <c r="W29" s="53">
        <f>'version consolidée hors UE'!S32+'version consolidée hors UE'!AI32+'version consolidée hors UE'!AK32</f>
        <v>559</v>
      </c>
      <c r="X29" s="62">
        <f t="shared" si="4"/>
        <v>0.3892757660167131</v>
      </c>
      <c r="Y29" s="53">
        <f t="shared" si="5"/>
        <v>1436</v>
      </c>
      <c r="Z29" s="62">
        <f t="shared" si="6"/>
        <v>1</v>
      </c>
      <c r="AB29" s="62">
        <f t="shared" si="7"/>
        <v>9.6755266741207335E-3</v>
      </c>
      <c r="AC29" s="62">
        <f t="shared" si="8"/>
        <v>1.1560693641618498E-3</v>
      </c>
      <c r="AD29" s="62">
        <f t="shared" si="9"/>
        <v>1.2943560057887119E-3</v>
      </c>
    </row>
    <row r="30" spans="1:30">
      <c r="A30"/>
      <c r="B30" s="86" t="s">
        <v>218</v>
      </c>
      <c r="C30" s="131">
        <f>'version consolidée hors UE'!AN33</f>
        <v>2</v>
      </c>
      <c r="D30" s="22">
        <f t="shared" si="0"/>
        <v>3.8109683480023856E-6</v>
      </c>
      <c r="E30" s="86">
        <f t="shared" si="1"/>
        <v>155</v>
      </c>
      <c r="R30" s="86" t="s">
        <v>218</v>
      </c>
      <c r="S30" s="53">
        <f>'version consolidée hors UE'!E33</f>
        <v>2</v>
      </c>
      <c r="T30" s="62">
        <f t="shared" si="2"/>
        <v>1</v>
      </c>
      <c r="U30" s="53">
        <f>'version consolidée hors UE'!L33</f>
        <v>0</v>
      </c>
      <c r="V30" s="62">
        <f t="shared" si="3"/>
        <v>0</v>
      </c>
      <c r="W30" s="53">
        <f>'version consolidée hors UE'!S33+'version consolidée hors UE'!AI33+'version consolidée hors UE'!AK33</f>
        <v>0</v>
      </c>
      <c r="X30" s="62">
        <f t="shared" si="4"/>
        <v>0</v>
      </c>
      <c r="Y30" s="53">
        <f t="shared" si="5"/>
        <v>2</v>
      </c>
      <c r="Z30" s="62">
        <f t="shared" si="6"/>
        <v>1</v>
      </c>
      <c r="AB30" s="62">
        <f t="shared" si="7"/>
        <v>2.2140793304624104E-5</v>
      </c>
      <c r="AC30" s="62">
        <f t="shared" si="8"/>
        <v>0</v>
      </c>
      <c r="AD30" s="62">
        <f t="shared" si="9"/>
        <v>0</v>
      </c>
    </row>
    <row r="31" spans="1:30">
      <c r="A31"/>
      <c r="B31" s="86" t="s">
        <v>164</v>
      </c>
      <c r="C31" s="131">
        <f>'version consolidée hors UE'!AN34</f>
        <v>378</v>
      </c>
      <c r="D31" s="22">
        <f t="shared" si="0"/>
        <v>7.2027301777245094E-4</v>
      </c>
      <c r="E31" s="86">
        <f t="shared" si="1"/>
        <v>45</v>
      </c>
      <c r="R31" s="86" t="s">
        <v>164</v>
      </c>
      <c r="S31" s="53">
        <f>'version consolidée hors UE'!E34</f>
        <v>222</v>
      </c>
      <c r="T31" s="62">
        <f t="shared" si="2"/>
        <v>0.58730158730158732</v>
      </c>
      <c r="U31" s="53">
        <f>'version consolidée hors UE'!L34</f>
        <v>7</v>
      </c>
      <c r="V31" s="62">
        <f t="shared" si="3"/>
        <v>1.8518518518518517E-2</v>
      </c>
      <c r="W31" s="53">
        <f>'version consolidée hors UE'!S34+'version consolidée hors UE'!AI34+'version consolidée hors UE'!AK34</f>
        <v>149</v>
      </c>
      <c r="X31" s="62">
        <f t="shared" si="4"/>
        <v>0.39417989417989419</v>
      </c>
      <c r="Y31" s="53">
        <f t="shared" si="5"/>
        <v>378</v>
      </c>
      <c r="Z31" s="62">
        <f t="shared" si="6"/>
        <v>1</v>
      </c>
      <c r="AB31" s="62">
        <f t="shared" si="7"/>
        <v>2.4576280568132758E-3</v>
      </c>
      <c r="AC31" s="62">
        <f t="shared" si="8"/>
        <v>2.6974951830443161E-3</v>
      </c>
      <c r="AD31" s="62">
        <f t="shared" si="9"/>
        <v>3.4500723589001448E-4</v>
      </c>
    </row>
    <row r="32" spans="1:30">
      <c r="A32"/>
      <c r="B32" s="86" t="s">
        <v>61</v>
      </c>
      <c r="C32" s="131">
        <f>'version consolidée hors UE'!AN35</f>
        <v>3</v>
      </c>
      <c r="D32" s="22">
        <f t="shared" si="0"/>
        <v>5.7164525220035785E-6</v>
      </c>
      <c r="E32" s="86">
        <f t="shared" si="1"/>
        <v>153</v>
      </c>
      <c r="R32" s="86" t="s">
        <v>61</v>
      </c>
      <c r="S32" s="53">
        <f>'version consolidée hors UE'!E35</f>
        <v>0</v>
      </c>
      <c r="T32" s="62">
        <f t="shared" si="2"/>
        <v>0</v>
      </c>
      <c r="U32" s="53">
        <f>'version consolidée hors UE'!L35</f>
        <v>0</v>
      </c>
      <c r="V32" s="62">
        <f t="shared" si="3"/>
        <v>0</v>
      </c>
      <c r="W32" s="53">
        <f>'version consolidée hors UE'!S35+'version consolidée hors UE'!AI35+'version consolidée hors UE'!AK35</f>
        <v>3</v>
      </c>
      <c r="X32" s="62">
        <f t="shared" si="4"/>
        <v>1</v>
      </c>
      <c r="Y32" s="53">
        <f t="shared" si="5"/>
        <v>3</v>
      </c>
      <c r="Z32" s="62">
        <f t="shared" si="6"/>
        <v>1</v>
      </c>
      <c r="AB32" s="62">
        <f t="shared" si="7"/>
        <v>0</v>
      </c>
      <c r="AC32" s="62">
        <f t="shared" si="8"/>
        <v>0</v>
      </c>
      <c r="AD32" s="62">
        <f t="shared" si="9"/>
        <v>6.9464544138929091E-6</v>
      </c>
    </row>
    <row r="33" spans="1:30">
      <c r="A33"/>
      <c r="B33" s="86" t="s">
        <v>62</v>
      </c>
      <c r="C33" s="131">
        <f>'version consolidée hors UE'!AN36</f>
        <v>886</v>
      </c>
      <c r="D33" s="22">
        <f t="shared" si="0"/>
        <v>1.6882589781650568E-3</v>
      </c>
      <c r="E33" s="86">
        <f t="shared" si="1"/>
        <v>32</v>
      </c>
      <c r="R33" s="86" t="s">
        <v>62</v>
      </c>
      <c r="S33" s="53">
        <f>'version consolidée hors UE'!E36</f>
        <v>761</v>
      </c>
      <c r="T33" s="62">
        <f t="shared" si="2"/>
        <v>0.85891647855530473</v>
      </c>
      <c r="U33" s="53">
        <f>'version consolidée hors UE'!L36</f>
        <v>3</v>
      </c>
      <c r="V33" s="62">
        <f t="shared" si="3"/>
        <v>3.3860045146726862E-3</v>
      </c>
      <c r="W33" s="53">
        <f>'version consolidée hors UE'!S36+'version consolidée hors UE'!AI36+'version consolidée hors UE'!AK36</f>
        <v>122</v>
      </c>
      <c r="X33" s="62">
        <f t="shared" si="4"/>
        <v>0.13769751693002258</v>
      </c>
      <c r="Y33" s="53">
        <f t="shared" si="5"/>
        <v>886</v>
      </c>
      <c r="Z33" s="62">
        <f t="shared" si="6"/>
        <v>1</v>
      </c>
      <c r="AB33" s="62">
        <f t="shared" si="7"/>
        <v>8.4245718524094716E-3</v>
      </c>
      <c r="AC33" s="62">
        <f t="shared" si="8"/>
        <v>1.1560693641618498E-3</v>
      </c>
      <c r="AD33" s="62">
        <f t="shared" si="9"/>
        <v>2.8248914616497831E-4</v>
      </c>
    </row>
    <row r="34" spans="1:30">
      <c r="A34"/>
      <c r="B34" s="86" t="s">
        <v>63</v>
      </c>
      <c r="C34" s="131">
        <f>'version consolidée hors UE'!AN37</f>
        <v>478</v>
      </c>
      <c r="D34" s="22">
        <f t="shared" si="0"/>
        <v>9.1082143517257021E-4</v>
      </c>
      <c r="E34" s="86">
        <f t="shared" si="1"/>
        <v>41</v>
      </c>
      <c r="R34" s="86" t="s">
        <v>63</v>
      </c>
      <c r="S34" s="53">
        <f>'version consolidée hors UE'!E37</f>
        <v>259</v>
      </c>
      <c r="T34" s="62">
        <f t="shared" si="2"/>
        <v>0.54184100418410042</v>
      </c>
      <c r="U34" s="53">
        <f>'version consolidée hors UE'!L37</f>
        <v>22</v>
      </c>
      <c r="V34" s="62">
        <f t="shared" si="3"/>
        <v>4.6025104602510462E-2</v>
      </c>
      <c r="W34" s="53">
        <f>'version consolidée hors UE'!S37+'version consolidée hors UE'!AI37+'version consolidée hors UE'!AK37</f>
        <v>197</v>
      </c>
      <c r="X34" s="62">
        <f t="shared" si="4"/>
        <v>0.41213389121338911</v>
      </c>
      <c r="Y34" s="53">
        <f t="shared" si="5"/>
        <v>478</v>
      </c>
      <c r="Z34" s="62">
        <f t="shared" si="6"/>
        <v>1</v>
      </c>
      <c r="AB34" s="62">
        <f t="shared" si="7"/>
        <v>2.8672327329488214E-3</v>
      </c>
      <c r="AC34" s="62">
        <f t="shared" si="8"/>
        <v>8.4778420038535644E-3</v>
      </c>
      <c r="AD34" s="62">
        <f t="shared" si="9"/>
        <v>4.5615050651230102E-4</v>
      </c>
    </row>
    <row r="35" spans="1:30">
      <c r="A35"/>
      <c r="B35" s="86" t="s">
        <v>64</v>
      </c>
      <c r="C35" s="131">
        <f>'version consolidée hors UE'!AN38</f>
        <v>3030</v>
      </c>
      <c r="D35" s="22">
        <f t="shared" si="0"/>
        <v>5.7736170472236139E-3</v>
      </c>
      <c r="E35" s="86">
        <f t="shared" si="1"/>
        <v>14</v>
      </c>
      <c r="G35" s="47"/>
      <c r="R35" s="86" t="s">
        <v>64</v>
      </c>
      <c r="S35" s="53">
        <f>'version consolidée hors UE'!E38</f>
        <v>2504</v>
      </c>
      <c r="T35" s="62">
        <f t="shared" si="2"/>
        <v>0.82640264026402643</v>
      </c>
      <c r="U35" s="53">
        <f>'version consolidée hors UE'!L38</f>
        <v>7</v>
      </c>
      <c r="V35" s="62">
        <f t="shared" si="3"/>
        <v>2.3102310231023103E-3</v>
      </c>
      <c r="W35" s="53">
        <f>'version consolidée hors UE'!S38+'version consolidée hors UE'!AI38+'version consolidée hors UE'!AK38</f>
        <v>519</v>
      </c>
      <c r="X35" s="62">
        <f t="shared" si="4"/>
        <v>0.1712871287128713</v>
      </c>
      <c r="Y35" s="53">
        <f t="shared" si="5"/>
        <v>3030</v>
      </c>
      <c r="Z35" s="62">
        <f t="shared" si="6"/>
        <v>1</v>
      </c>
      <c r="AB35" s="62">
        <f t="shared" si="7"/>
        <v>2.7720273217389377E-2</v>
      </c>
      <c r="AC35" s="62">
        <f t="shared" si="8"/>
        <v>2.6974951830443161E-3</v>
      </c>
      <c r="AD35" s="62">
        <f t="shared" si="9"/>
        <v>1.2017366136034733E-3</v>
      </c>
    </row>
    <row r="36" spans="1:30">
      <c r="A36"/>
      <c r="B36" s="86" t="s">
        <v>65</v>
      </c>
      <c r="C36" s="131">
        <f>'version consolidée hors UE'!AN39</f>
        <v>245</v>
      </c>
      <c r="D36" s="22">
        <f t="shared" si="0"/>
        <v>4.6684362263029226E-4</v>
      </c>
      <c r="E36" s="86">
        <f t="shared" si="1"/>
        <v>53</v>
      </c>
      <c r="G36" s="47"/>
      <c r="R36" s="86" t="s">
        <v>65</v>
      </c>
      <c r="S36" s="53">
        <f>'version consolidée hors UE'!E39</f>
        <v>240</v>
      </c>
      <c r="T36" s="62">
        <f t="shared" si="2"/>
        <v>0.97959183673469385</v>
      </c>
      <c r="U36" s="53">
        <f>'version consolidée hors UE'!L39</f>
        <v>0</v>
      </c>
      <c r="V36" s="62">
        <f t="shared" si="3"/>
        <v>0</v>
      </c>
      <c r="W36" s="53">
        <f>'version consolidée hors UE'!S39+'version consolidée hors UE'!AI39+'version consolidée hors UE'!AK39</f>
        <v>5</v>
      </c>
      <c r="X36" s="62">
        <f t="shared" si="4"/>
        <v>2.0408163265306121E-2</v>
      </c>
      <c r="Y36" s="53">
        <f t="shared" si="5"/>
        <v>245</v>
      </c>
      <c r="Z36" s="62">
        <f t="shared" si="6"/>
        <v>1</v>
      </c>
      <c r="AB36" s="62">
        <f t="shared" si="7"/>
        <v>2.6568951965548924E-3</v>
      </c>
      <c r="AC36" s="62">
        <f t="shared" si="8"/>
        <v>0</v>
      </c>
      <c r="AD36" s="62">
        <f t="shared" si="9"/>
        <v>1.1577424023154848E-5</v>
      </c>
    </row>
    <row r="37" spans="1:30">
      <c r="A37"/>
      <c r="B37" s="86" t="s">
        <v>66</v>
      </c>
      <c r="C37" s="131">
        <f>'version consolidée hors UE'!AN40</f>
        <v>717</v>
      </c>
      <c r="D37" s="22">
        <f t="shared" si="0"/>
        <v>1.3662321527588553E-3</v>
      </c>
      <c r="E37" s="86">
        <f t="shared" si="1"/>
        <v>36</v>
      </c>
      <c r="R37" s="86" t="s">
        <v>66</v>
      </c>
      <c r="S37" s="53">
        <f>'version consolidée hors UE'!E40</f>
        <v>437</v>
      </c>
      <c r="T37" s="62">
        <f t="shared" si="2"/>
        <v>0.60948396094839608</v>
      </c>
      <c r="U37" s="53">
        <f>'version consolidée hors UE'!L40</f>
        <v>0</v>
      </c>
      <c r="V37" s="62">
        <f t="shared" si="3"/>
        <v>0</v>
      </c>
      <c r="W37" s="53">
        <f>'version consolidée hors UE'!S40+'version consolidée hors UE'!AI40+'version consolidée hors UE'!AK40</f>
        <v>280</v>
      </c>
      <c r="X37" s="62">
        <f t="shared" si="4"/>
        <v>0.39051603905160392</v>
      </c>
      <c r="Y37" s="53">
        <f t="shared" si="5"/>
        <v>717</v>
      </c>
      <c r="Z37" s="62">
        <f t="shared" si="6"/>
        <v>1</v>
      </c>
      <c r="AB37" s="62">
        <f t="shared" si="7"/>
        <v>4.8377633370603667E-3</v>
      </c>
      <c r="AC37" s="62">
        <f t="shared" si="8"/>
        <v>0</v>
      </c>
      <c r="AD37" s="62">
        <f t="shared" si="9"/>
        <v>6.4833574529667148E-4</v>
      </c>
    </row>
    <row r="38" spans="1:30">
      <c r="A38"/>
      <c r="B38" s="86" t="s">
        <v>67</v>
      </c>
      <c r="C38" s="131">
        <f>'version consolidée hors UE'!AN41</f>
        <v>1735</v>
      </c>
      <c r="D38" s="22">
        <f t="shared" si="0"/>
        <v>3.3060150418920695E-3</v>
      </c>
      <c r="E38" s="86">
        <f t="shared" si="1"/>
        <v>20</v>
      </c>
      <c r="G38" s="47"/>
      <c r="R38" s="86" t="s">
        <v>67</v>
      </c>
      <c r="S38" s="53">
        <f>'version consolidée hors UE'!E41</f>
        <v>1154</v>
      </c>
      <c r="T38" s="62">
        <f t="shared" si="2"/>
        <v>0.66512968299711817</v>
      </c>
      <c r="U38" s="53">
        <f>'version consolidée hors UE'!L41</f>
        <v>6</v>
      </c>
      <c r="V38" s="62">
        <f t="shared" si="3"/>
        <v>3.4582132564841498E-3</v>
      </c>
      <c r="W38" s="53">
        <f>'version consolidée hors UE'!S41+'version consolidée hors UE'!AI41+'version consolidée hors UE'!AK41</f>
        <v>575</v>
      </c>
      <c r="X38" s="62">
        <f t="shared" si="4"/>
        <v>0.33141210374639768</v>
      </c>
      <c r="Y38" s="53">
        <f t="shared" si="5"/>
        <v>1735</v>
      </c>
      <c r="Z38" s="62">
        <f t="shared" si="6"/>
        <v>1</v>
      </c>
      <c r="AB38" s="62">
        <f t="shared" si="7"/>
        <v>1.2775237736768108E-2</v>
      </c>
      <c r="AC38" s="62">
        <f t="shared" si="8"/>
        <v>2.3121387283236996E-3</v>
      </c>
      <c r="AD38" s="62">
        <f t="shared" si="9"/>
        <v>1.3314037626628076E-3</v>
      </c>
    </row>
    <row r="39" spans="1:30">
      <c r="A39"/>
      <c r="B39" s="86" t="s">
        <v>68</v>
      </c>
      <c r="C39" s="131">
        <f>'version consolidée hors UE'!AN42</f>
        <v>646</v>
      </c>
      <c r="D39" s="22">
        <f t="shared" si="0"/>
        <v>1.2309427764047706E-3</v>
      </c>
      <c r="E39" s="86">
        <f t="shared" si="1"/>
        <v>38</v>
      </c>
      <c r="R39" s="86" t="s">
        <v>68</v>
      </c>
      <c r="S39" s="53">
        <f>'version consolidée hors UE'!E42</f>
        <v>402</v>
      </c>
      <c r="T39" s="62">
        <f t="shared" si="2"/>
        <v>0.62229102167182659</v>
      </c>
      <c r="U39" s="53">
        <f>'version consolidée hors UE'!L42</f>
        <v>0</v>
      </c>
      <c r="V39" s="62">
        <f t="shared" si="3"/>
        <v>0</v>
      </c>
      <c r="W39" s="53">
        <f>'version consolidée hors UE'!S42+'version consolidée hors UE'!AI42+'version consolidée hors UE'!AK42</f>
        <v>244</v>
      </c>
      <c r="X39" s="62">
        <f t="shared" si="4"/>
        <v>0.37770897832817335</v>
      </c>
      <c r="Y39" s="53">
        <f t="shared" si="5"/>
        <v>646</v>
      </c>
      <c r="Z39" s="62">
        <f t="shared" si="6"/>
        <v>1</v>
      </c>
      <c r="AB39" s="62">
        <f t="shared" si="7"/>
        <v>4.4502994542294453E-3</v>
      </c>
      <c r="AC39" s="62">
        <f t="shared" si="8"/>
        <v>0</v>
      </c>
      <c r="AD39" s="62">
        <f t="shared" si="9"/>
        <v>5.6497829232995663E-4</v>
      </c>
    </row>
    <row r="40" spans="1:30">
      <c r="A40"/>
      <c r="B40" s="86" t="s">
        <v>69</v>
      </c>
      <c r="C40" s="131">
        <f>'version consolidée hors UE'!AN43</f>
        <v>41</v>
      </c>
      <c r="D40" s="22">
        <f t="shared" si="0"/>
        <v>7.8124851134048901E-5</v>
      </c>
      <c r="E40" s="86">
        <f t="shared" si="1"/>
        <v>98</v>
      </c>
      <c r="R40" s="86" t="s">
        <v>69</v>
      </c>
      <c r="S40" s="53">
        <f>'version consolidée hors UE'!E43</f>
        <v>17</v>
      </c>
      <c r="T40" s="62">
        <f t="shared" si="2"/>
        <v>0.41463414634146339</v>
      </c>
      <c r="U40" s="53">
        <f>'version consolidée hors UE'!L43</f>
        <v>6</v>
      </c>
      <c r="V40" s="62">
        <f t="shared" si="3"/>
        <v>0.14634146341463414</v>
      </c>
      <c r="W40" s="53">
        <f>'version consolidée hors UE'!S43+'version consolidée hors UE'!AI43+'version consolidée hors UE'!AK43</f>
        <v>18</v>
      </c>
      <c r="X40" s="62">
        <f t="shared" si="4"/>
        <v>0.43902439024390244</v>
      </c>
      <c r="Y40" s="53">
        <f t="shared" si="5"/>
        <v>41</v>
      </c>
      <c r="Z40" s="62">
        <f t="shared" si="6"/>
        <v>1</v>
      </c>
      <c r="AB40" s="62">
        <f t="shared" si="7"/>
        <v>1.8819674308930489E-4</v>
      </c>
      <c r="AC40" s="62">
        <f t="shared" si="8"/>
        <v>2.3121387283236996E-3</v>
      </c>
      <c r="AD40" s="62">
        <f t="shared" si="9"/>
        <v>4.167872648335745E-5</v>
      </c>
    </row>
    <row r="41" spans="1:30">
      <c r="A41"/>
      <c r="B41" s="86" t="s">
        <v>70</v>
      </c>
      <c r="C41" s="131">
        <f>'version consolidée hors UE'!AN44</f>
        <v>151</v>
      </c>
      <c r="D41" s="22">
        <f t="shared" si="0"/>
        <v>2.8772811027418009E-4</v>
      </c>
      <c r="E41" s="86">
        <f t="shared" si="1"/>
        <v>63</v>
      </c>
      <c r="R41" s="86" t="s">
        <v>70</v>
      </c>
      <c r="S41" s="53">
        <f>'version consolidée hors UE'!E44</f>
        <v>48</v>
      </c>
      <c r="T41" s="62">
        <f t="shared" si="2"/>
        <v>0.31788079470198677</v>
      </c>
      <c r="U41" s="53">
        <f>'version consolidée hors UE'!L44</f>
        <v>7</v>
      </c>
      <c r="V41" s="62">
        <f t="shared" si="3"/>
        <v>4.6357615894039736E-2</v>
      </c>
      <c r="W41" s="53">
        <f>'version consolidée hors UE'!S44+'version consolidée hors UE'!AI44+'version consolidée hors UE'!AK44</f>
        <v>96</v>
      </c>
      <c r="X41" s="62">
        <f t="shared" si="4"/>
        <v>0.63576158940397354</v>
      </c>
      <c r="Y41" s="53">
        <f t="shared" si="5"/>
        <v>151</v>
      </c>
      <c r="Z41" s="62">
        <f t="shared" si="6"/>
        <v>1</v>
      </c>
      <c r="AB41" s="62">
        <f t="shared" si="7"/>
        <v>5.3137903931097853E-4</v>
      </c>
      <c r="AC41" s="62">
        <f t="shared" si="8"/>
        <v>2.6974951830443161E-3</v>
      </c>
      <c r="AD41" s="62">
        <f t="shared" si="9"/>
        <v>2.2228654124457309E-4</v>
      </c>
    </row>
    <row r="42" spans="1:30">
      <c r="A42"/>
      <c r="B42" s="86" t="s">
        <v>155</v>
      </c>
      <c r="C42" s="131">
        <f>'version consolidée hors UE'!AN45</f>
        <v>360</v>
      </c>
      <c r="D42" s="22">
        <f t="shared" si="0"/>
        <v>6.8597430264042943E-4</v>
      </c>
      <c r="E42" s="86">
        <f t="shared" si="1"/>
        <v>46</v>
      </c>
      <c r="R42" s="86" t="s">
        <v>155</v>
      </c>
      <c r="S42" s="53">
        <f>'version consolidée hors UE'!E45</f>
        <v>202</v>
      </c>
      <c r="T42" s="62">
        <f t="shared" si="2"/>
        <v>0.56111111111111112</v>
      </c>
      <c r="U42" s="53">
        <f>'version consolidée hors UE'!L45</f>
        <v>0</v>
      </c>
      <c r="V42" s="62">
        <f t="shared" si="3"/>
        <v>0</v>
      </c>
      <c r="W42" s="53">
        <f>'version consolidée hors UE'!S45+'version consolidée hors UE'!AI45+'version consolidée hors UE'!AK45</f>
        <v>158</v>
      </c>
      <c r="X42" s="62">
        <f t="shared" si="4"/>
        <v>0.43888888888888888</v>
      </c>
      <c r="Y42" s="53">
        <f t="shared" si="5"/>
        <v>360</v>
      </c>
      <c r="Z42" s="62">
        <f t="shared" si="6"/>
        <v>1</v>
      </c>
      <c r="AB42" s="62">
        <f t="shared" si="7"/>
        <v>2.2362201237670345E-3</v>
      </c>
      <c r="AC42" s="62">
        <f t="shared" si="8"/>
        <v>0</v>
      </c>
      <c r="AD42" s="62">
        <f t="shared" si="9"/>
        <v>3.6584659913169317E-4</v>
      </c>
    </row>
    <row r="43" spans="1:30">
      <c r="A43"/>
      <c r="B43" s="86" t="s">
        <v>71</v>
      </c>
      <c r="C43" s="131">
        <f>'version consolidée hors UE'!AN46</f>
        <v>416</v>
      </c>
      <c r="D43" s="22">
        <f t="shared" si="0"/>
        <v>7.9268141638449627E-4</v>
      </c>
      <c r="E43" s="86">
        <f t="shared" si="1"/>
        <v>43</v>
      </c>
      <c r="R43" s="86" t="s">
        <v>71</v>
      </c>
      <c r="S43" s="53">
        <f>'version consolidée hors UE'!E46</f>
        <v>350</v>
      </c>
      <c r="T43" s="62">
        <f t="shared" si="2"/>
        <v>0.84134615384615385</v>
      </c>
      <c r="U43" s="53">
        <f>'version consolidée hors UE'!L46</f>
        <v>0</v>
      </c>
      <c r="V43" s="62">
        <f t="shared" si="3"/>
        <v>0</v>
      </c>
      <c r="W43" s="53">
        <f>'version consolidée hors UE'!S46+'version consolidée hors UE'!AI46+'version consolidée hors UE'!AK46</f>
        <v>66</v>
      </c>
      <c r="X43" s="62">
        <f t="shared" si="4"/>
        <v>0.15865384615384615</v>
      </c>
      <c r="Y43" s="53">
        <f t="shared" si="5"/>
        <v>416</v>
      </c>
      <c r="Z43" s="62">
        <f t="shared" si="6"/>
        <v>1</v>
      </c>
      <c r="AB43" s="62">
        <f t="shared" si="7"/>
        <v>3.8746388283092182E-3</v>
      </c>
      <c r="AC43" s="62">
        <f t="shared" si="8"/>
        <v>0</v>
      </c>
      <c r="AD43" s="62">
        <f t="shared" si="9"/>
        <v>1.5282199710564399E-4</v>
      </c>
    </row>
    <row r="44" spans="1:30">
      <c r="A44"/>
      <c r="B44" s="86" t="s">
        <v>72</v>
      </c>
      <c r="C44" s="131">
        <f>'version consolidée hors UE'!AN47</f>
        <v>688</v>
      </c>
      <c r="D44" s="22">
        <f t="shared" si="0"/>
        <v>1.3109731117128206E-3</v>
      </c>
      <c r="E44" s="86">
        <f t="shared" si="1"/>
        <v>37</v>
      </c>
      <c r="R44" s="86" t="s">
        <v>72</v>
      </c>
      <c r="S44" s="53">
        <f>'version consolidée hors UE'!E47</f>
        <v>298</v>
      </c>
      <c r="T44" s="62">
        <f t="shared" si="2"/>
        <v>0.43313953488372092</v>
      </c>
      <c r="U44" s="53">
        <f>'version consolidée hors UE'!L47</f>
        <v>16</v>
      </c>
      <c r="V44" s="62">
        <f t="shared" si="3"/>
        <v>2.3255813953488372E-2</v>
      </c>
      <c r="W44" s="53">
        <f>'version consolidée hors UE'!S47+'version consolidée hors UE'!AI47+'version consolidée hors UE'!AK47</f>
        <v>374</v>
      </c>
      <c r="X44" s="62">
        <f t="shared" si="4"/>
        <v>0.54360465116279066</v>
      </c>
      <c r="Y44" s="53">
        <f t="shared" si="5"/>
        <v>688</v>
      </c>
      <c r="Z44" s="62">
        <f t="shared" si="6"/>
        <v>1</v>
      </c>
      <c r="AB44" s="62">
        <f t="shared" si="7"/>
        <v>3.2989782023889916E-3</v>
      </c>
      <c r="AC44" s="62">
        <f t="shared" si="8"/>
        <v>6.1657032755298652E-3</v>
      </c>
      <c r="AD44" s="62">
        <f t="shared" si="9"/>
        <v>8.6599131693198259E-4</v>
      </c>
    </row>
    <row r="45" spans="1:30" ht="17.25">
      <c r="A45"/>
      <c r="B45" s="132" t="s">
        <v>347</v>
      </c>
      <c r="C45" s="131">
        <f>'version consolidée hors UE'!AN48</f>
        <v>1286</v>
      </c>
      <c r="D45" s="22">
        <f t="shared" si="0"/>
        <v>2.450452647765534E-3</v>
      </c>
      <c r="E45" s="86">
        <f t="shared" si="1"/>
        <v>25</v>
      </c>
      <c r="R45" s="132" t="s">
        <v>347</v>
      </c>
      <c r="S45" s="53">
        <f>'version consolidée hors UE'!E48</f>
        <v>0</v>
      </c>
      <c r="T45" s="62">
        <f t="shared" si="2"/>
        <v>0</v>
      </c>
      <c r="U45" s="53">
        <f>'version consolidée hors UE'!L48</f>
        <v>0</v>
      </c>
      <c r="V45" s="62">
        <f t="shared" si="3"/>
        <v>0</v>
      </c>
      <c r="W45" s="53">
        <f>'version consolidée hors UE'!S48+'version consolidée hors UE'!AI48+'version consolidée hors UE'!AK48</f>
        <v>1286</v>
      </c>
      <c r="X45" s="62">
        <f t="shared" si="4"/>
        <v>1</v>
      </c>
      <c r="Y45" s="53">
        <f t="shared" si="5"/>
        <v>1286</v>
      </c>
      <c r="Z45" s="62">
        <f t="shared" si="6"/>
        <v>1</v>
      </c>
      <c r="AB45" s="62">
        <f t="shared" si="7"/>
        <v>0</v>
      </c>
      <c r="AC45" s="62">
        <f t="shared" si="8"/>
        <v>0</v>
      </c>
      <c r="AD45" s="62">
        <f t="shared" si="9"/>
        <v>2.9777134587554268E-3</v>
      </c>
    </row>
    <row r="46" spans="1:30">
      <c r="A46"/>
      <c r="B46" s="86" t="s">
        <v>73</v>
      </c>
      <c r="C46" s="131">
        <f>'version consolidée hors UE'!AN49</f>
        <v>1262</v>
      </c>
      <c r="D46" s="22">
        <f t="shared" si="0"/>
        <v>2.4047210275895052E-3</v>
      </c>
      <c r="E46" s="86">
        <f t="shared" si="1"/>
        <v>26</v>
      </c>
      <c r="R46" s="86" t="s">
        <v>73</v>
      </c>
      <c r="S46" s="53">
        <f>'version consolidée hors UE'!E49</f>
        <v>1222</v>
      </c>
      <c r="T46" s="62">
        <f t="shared" si="2"/>
        <v>0.9683042789223455</v>
      </c>
      <c r="U46" s="53">
        <f>'version consolidée hors UE'!L49</f>
        <v>1</v>
      </c>
      <c r="V46" s="62">
        <f t="shared" si="3"/>
        <v>7.9239302694136295E-4</v>
      </c>
      <c r="W46" s="53">
        <f>'version consolidée hors UE'!S49+'version consolidée hors UE'!AI49+'version consolidée hors UE'!AK49</f>
        <v>39</v>
      </c>
      <c r="X46" s="62">
        <f t="shared" si="4"/>
        <v>3.0903328050713153E-2</v>
      </c>
      <c r="Y46" s="53">
        <f t="shared" si="5"/>
        <v>1262</v>
      </c>
      <c r="Z46" s="62">
        <f t="shared" si="6"/>
        <v>1</v>
      </c>
      <c r="AB46" s="62">
        <f t="shared" si="7"/>
        <v>1.3528024709125328E-2</v>
      </c>
      <c r="AC46" s="62">
        <f t="shared" si="8"/>
        <v>3.8535645472061658E-4</v>
      </c>
      <c r="AD46" s="62">
        <f t="shared" si="9"/>
        <v>9.0303907380607818E-5</v>
      </c>
    </row>
    <row r="47" spans="1:30">
      <c r="A47"/>
      <c r="B47" s="86" t="s">
        <v>74</v>
      </c>
      <c r="C47" s="131">
        <f>'version consolidée hors UE'!AN50</f>
        <v>189</v>
      </c>
      <c r="D47" s="22">
        <f t="shared" si="0"/>
        <v>3.6013650888622547E-4</v>
      </c>
      <c r="E47" s="86">
        <f t="shared" si="1"/>
        <v>58</v>
      </c>
      <c r="R47" s="86" t="s">
        <v>74</v>
      </c>
      <c r="S47" s="53">
        <f>'version consolidée hors UE'!E50</f>
        <v>40</v>
      </c>
      <c r="T47" s="62">
        <f t="shared" si="2"/>
        <v>0.21164021164021163</v>
      </c>
      <c r="U47" s="53">
        <f>'version consolidée hors UE'!L50</f>
        <v>0</v>
      </c>
      <c r="V47" s="62">
        <f t="shared" si="3"/>
        <v>0</v>
      </c>
      <c r="W47" s="53">
        <f>'version consolidée hors UE'!S50+'version consolidée hors UE'!AI50+'version consolidée hors UE'!AK50</f>
        <v>149</v>
      </c>
      <c r="X47" s="62">
        <f t="shared" si="4"/>
        <v>0.78835978835978837</v>
      </c>
      <c r="Y47" s="53">
        <f t="shared" si="5"/>
        <v>189</v>
      </c>
      <c r="Z47" s="62">
        <f t="shared" si="6"/>
        <v>1</v>
      </c>
      <c r="AB47" s="62">
        <f t="shared" si="7"/>
        <v>4.4281586609248207E-4</v>
      </c>
      <c r="AC47" s="62">
        <f t="shared" si="8"/>
        <v>0</v>
      </c>
      <c r="AD47" s="62">
        <f t="shared" si="9"/>
        <v>3.4500723589001448E-4</v>
      </c>
    </row>
    <row r="48" spans="1:30">
      <c r="A48"/>
      <c r="B48" s="132" t="s">
        <v>300</v>
      </c>
      <c r="C48" s="131">
        <f>'version consolidée hors UE'!AN51</f>
        <v>16</v>
      </c>
      <c r="D48" s="22">
        <f t="shared" si="0"/>
        <v>3.0487746784019085E-5</v>
      </c>
      <c r="E48" s="86">
        <f t="shared" si="1"/>
        <v>119</v>
      </c>
      <c r="R48" s="132" t="s">
        <v>300</v>
      </c>
      <c r="S48" s="53">
        <f>'version consolidée hors UE'!E51</f>
        <v>15</v>
      </c>
      <c r="T48" s="62">
        <f t="shared" si="2"/>
        <v>0.9375</v>
      </c>
      <c r="U48" s="53">
        <f>'version consolidée hors UE'!L51</f>
        <v>0</v>
      </c>
      <c r="V48" s="62">
        <f t="shared" si="3"/>
        <v>0</v>
      </c>
      <c r="W48" s="53">
        <f>'version consolidée hors UE'!S51+'version consolidée hors UE'!AI51+'version consolidée hors UE'!AK51</f>
        <v>1</v>
      </c>
      <c r="X48" s="62">
        <f t="shared" si="4"/>
        <v>6.25E-2</v>
      </c>
      <c r="Y48" s="53">
        <f t="shared" si="5"/>
        <v>16</v>
      </c>
      <c r="Z48" s="62">
        <f t="shared" si="6"/>
        <v>1</v>
      </c>
      <c r="AB48" s="62">
        <f t="shared" si="7"/>
        <v>1.6605594978468078E-4</v>
      </c>
      <c r="AC48" s="62">
        <f t="shared" si="8"/>
        <v>0</v>
      </c>
      <c r="AD48" s="62">
        <f t="shared" si="9"/>
        <v>2.3154848046309697E-6</v>
      </c>
    </row>
    <row r="49" spans="1:30">
      <c r="A49"/>
      <c r="B49" s="86" t="s">
        <v>75</v>
      </c>
      <c r="C49" s="131">
        <f>'version consolidée hors UE'!AN52</f>
        <v>475</v>
      </c>
      <c r="D49" s="22">
        <f t="shared" si="0"/>
        <v>9.051049826505666E-4</v>
      </c>
      <c r="E49" s="86">
        <f t="shared" si="1"/>
        <v>42</v>
      </c>
      <c r="R49" s="86" t="s">
        <v>75</v>
      </c>
      <c r="S49" s="53">
        <f>'version consolidée hors UE'!E52</f>
        <v>309</v>
      </c>
      <c r="T49" s="62">
        <f t="shared" si="2"/>
        <v>0.65052631578947373</v>
      </c>
      <c r="U49" s="53">
        <f>'version consolidée hors UE'!L52</f>
        <v>0</v>
      </c>
      <c r="V49" s="62">
        <f t="shared" si="3"/>
        <v>0</v>
      </c>
      <c r="W49" s="53">
        <f>'version consolidée hors UE'!S52+'version consolidée hors UE'!AI52+'version consolidée hors UE'!AK52</f>
        <v>166</v>
      </c>
      <c r="X49" s="62">
        <f t="shared" si="4"/>
        <v>0.34947368421052633</v>
      </c>
      <c r="Y49" s="53">
        <f t="shared" si="5"/>
        <v>475</v>
      </c>
      <c r="Z49" s="62">
        <f t="shared" si="6"/>
        <v>1</v>
      </c>
      <c r="AB49" s="62">
        <f t="shared" si="7"/>
        <v>3.4207525655644243E-3</v>
      </c>
      <c r="AC49" s="62">
        <f t="shared" si="8"/>
        <v>0</v>
      </c>
      <c r="AD49" s="62">
        <f t="shared" si="9"/>
        <v>3.8437047756874094E-4</v>
      </c>
    </row>
    <row r="50" spans="1:30">
      <c r="A50"/>
      <c r="B50" s="86" t="s">
        <v>76</v>
      </c>
      <c r="C50" s="131">
        <f>'version consolidée hors UE'!AN53</f>
        <v>77</v>
      </c>
      <c r="D50" s="22">
        <f t="shared" si="0"/>
        <v>1.4672228139809185E-4</v>
      </c>
      <c r="E50" s="86">
        <f t="shared" si="1"/>
        <v>80</v>
      </c>
      <c r="R50" s="86" t="s">
        <v>76</v>
      </c>
      <c r="S50" s="53">
        <f>'version consolidée hors UE'!E53</f>
        <v>12</v>
      </c>
      <c r="T50" s="62">
        <f t="shared" si="2"/>
        <v>0.15584415584415584</v>
      </c>
      <c r="U50" s="53">
        <f>'version consolidée hors UE'!L53</f>
        <v>1</v>
      </c>
      <c r="V50" s="62">
        <f t="shared" si="3"/>
        <v>1.2987012987012988E-2</v>
      </c>
      <c r="W50" s="53">
        <f>'version consolidée hors UE'!S53+'version consolidée hors UE'!AI53+'version consolidée hors UE'!AK53</f>
        <v>64</v>
      </c>
      <c r="X50" s="62">
        <f t="shared" si="4"/>
        <v>0.83116883116883122</v>
      </c>
      <c r="Y50" s="53">
        <f t="shared" si="5"/>
        <v>77</v>
      </c>
      <c r="Z50" s="62">
        <f t="shared" si="6"/>
        <v>1</v>
      </c>
      <c r="AB50" s="62">
        <f t="shared" si="7"/>
        <v>1.3284475982774463E-4</v>
      </c>
      <c r="AC50" s="62">
        <f t="shared" si="8"/>
        <v>3.8535645472061658E-4</v>
      </c>
      <c r="AD50" s="62">
        <f t="shared" si="9"/>
        <v>1.4819102749638206E-4</v>
      </c>
    </row>
    <row r="51" spans="1:30">
      <c r="A51"/>
      <c r="B51" s="86" t="s">
        <v>77</v>
      </c>
      <c r="C51" s="131">
        <f>'version consolidée hors UE'!AN54</f>
        <v>986</v>
      </c>
      <c r="D51" s="22">
        <f t="shared" si="0"/>
        <v>1.8788073955651762E-3</v>
      </c>
      <c r="E51" s="86">
        <f t="shared" si="1"/>
        <v>29</v>
      </c>
      <c r="R51" s="86" t="s">
        <v>77</v>
      </c>
      <c r="S51" s="53">
        <f>'version consolidée hors UE'!E54</f>
        <v>571</v>
      </c>
      <c r="T51" s="62">
        <f t="shared" si="2"/>
        <v>0.57910750507099396</v>
      </c>
      <c r="U51" s="53">
        <f>'version consolidée hors UE'!L54</f>
        <v>3</v>
      </c>
      <c r="V51" s="62">
        <f t="shared" si="3"/>
        <v>3.0425963488843813E-3</v>
      </c>
      <c r="W51" s="53">
        <f>'version consolidée hors UE'!S54+'version consolidée hors UE'!AI54+'version consolidée hors UE'!AK54</f>
        <v>412</v>
      </c>
      <c r="X51" s="62">
        <f t="shared" si="4"/>
        <v>0.41784989858012173</v>
      </c>
      <c r="Y51" s="53">
        <f t="shared" si="5"/>
        <v>986</v>
      </c>
      <c r="Z51" s="62">
        <f t="shared" si="6"/>
        <v>1</v>
      </c>
      <c r="AB51" s="62">
        <f t="shared" si="7"/>
        <v>6.3211964884701821E-3</v>
      </c>
      <c r="AC51" s="62">
        <f t="shared" si="8"/>
        <v>1.1560693641618498E-3</v>
      </c>
      <c r="AD51" s="62">
        <f t="shared" si="9"/>
        <v>9.5397973950795952E-4</v>
      </c>
    </row>
    <row r="52" spans="1:30">
      <c r="A52"/>
      <c r="B52" s="86" t="s">
        <v>78</v>
      </c>
      <c r="C52" s="131">
        <f>'version consolidée hors UE'!AN55</f>
        <v>254</v>
      </c>
      <c r="D52" s="22">
        <f t="shared" si="0"/>
        <v>4.8399298019630296E-4</v>
      </c>
      <c r="E52" s="86">
        <f t="shared" si="1"/>
        <v>51</v>
      </c>
      <c r="R52" s="86" t="s">
        <v>78</v>
      </c>
      <c r="S52" s="53">
        <f>'version consolidée hors UE'!E55</f>
        <v>141</v>
      </c>
      <c r="T52" s="62">
        <f t="shared" si="2"/>
        <v>0.55511811023622049</v>
      </c>
      <c r="U52" s="53">
        <f>'version consolidée hors UE'!L55</f>
        <v>0</v>
      </c>
      <c r="V52" s="62">
        <f t="shared" si="3"/>
        <v>0</v>
      </c>
      <c r="W52" s="53">
        <f>'version consolidée hors UE'!S55+'version consolidée hors UE'!AI55+'version consolidée hors UE'!AK55</f>
        <v>113</v>
      </c>
      <c r="X52" s="62">
        <f t="shared" si="4"/>
        <v>0.44488188976377951</v>
      </c>
      <c r="Y52" s="53">
        <f t="shared" si="5"/>
        <v>254</v>
      </c>
      <c r="Z52" s="62">
        <f t="shared" si="6"/>
        <v>1</v>
      </c>
      <c r="AB52" s="62">
        <f t="shared" si="7"/>
        <v>1.5609259279759993E-3</v>
      </c>
      <c r="AC52" s="62">
        <f t="shared" si="8"/>
        <v>0</v>
      </c>
      <c r="AD52" s="62">
        <f t="shared" si="9"/>
        <v>2.6164978292329957E-4</v>
      </c>
    </row>
    <row r="53" spans="1:30">
      <c r="A53"/>
      <c r="B53" s="86" t="s">
        <v>201</v>
      </c>
      <c r="C53" s="131">
        <f>'version consolidée hors UE'!AN56</f>
        <v>0</v>
      </c>
      <c r="D53" s="22">
        <f t="shared" si="0"/>
        <v>0</v>
      </c>
      <c r="E53" s="86">
        <f t="shared" si="1"/>
        <v>168</v>
      </c>
      <c r="R53" s="86" t="s">
        <v>201</v>
      </c>
      <c r="S53" s="53">
        <f>'version consolidée hors UE'!E56</f>
        <v>0</v>
      </c>
      <c r="T53" s="62" t="e">
        <f t="shared" si="2"/>
        <v>#DIV/0!</v>
      </c>
      <c r="U53" s="53">
        <f>'version consolidée hors UE'!L56</f>
        <v>0</v>
      </c>
      <c r="V53" s="62" t="e">
        <f t="shared" si="3"/>
        <v>#DIV/0!</v>
      </c>
      <c r="W53" s="53">
        <f>'version consolidée hors UE'!S56+'version consolidée hors UE'!AI56+'version consolidée hors UE'!AK56</f>
        <v>0</v>
      </c>
      <c r="X53" s="62" t="e">
        <f t="shared" si="4"/>
        <v>#DIV/0!</v>
      </c>
      <c r="Y53" s="53">
        <f t="shared" si="5"/>
        <v>0</v>
      </c>
      <c r="Z53" s="62" t="e">
        <f t="shared" si="6"/>
        <v>#DIV/0!</v>
      </c>
      <c r="AB53" s="62">
        <f t="shared" si="7"/>
        <v>0</v>
      </c>
      <c r="AC53" s="62">
        <f t="shared" si="8"/>
        <v>0</v>
      </c>
      <c r="AD53" s="62">
        <f t="shared" si="9"/>
        <v>0</v>
      </c>
    </row>
    <row r="54" spans="1:30">
      <c r="A54"/>
      <c r="B54" s="86" t="s">
        <v>79</v>
      </c>
      <c r="C54" s="131">
        <f>'version consolidée hors UE'!AN57</f>
        <v>5800</v>
      </c>
      <c r="D54" s="22">
        <f t="shared" si="0"/>
        <v>1.1051808209206919E-2</v>
      </c>
      <c r="E54" s="86">
        <f t="shared" si="1"/>
        <v>10</v>
      </c>
      <c r="R54" s="86" t="s">
        <v>79</v>
      </c>
      <c r="S54" s="53">
        <f>'version consolidée hors UE'!E57</f>
        <v>4599</v>
      </c>
      <c r="T54" s="62">
        <f t="shared" si="2"/>
        <v>0.79293103448275859</v>
      </c>
      <c r="U54" s="53">
        <f>'version consolidée hors UE'!L57</f>
        <v>12</v>
      </c>
      <c r="V54" s="62">
        <f t="shared" si="3"/>
        <v>2.0689655172413794E-3</v>
      </c>
      <c r="W54" s="53">
        <f>'version consolidée hors UE'!S57+'version consolidée hors UE'!AI57+'version consolidée hors UE'!AK57</f>
        <v>1189</v>
      </c>
      <c r="X54" s="62">
        <f t="shared" si="4"/>
        <v>0.20499999999999999</v>
      </c>
      <c r="Y54" s="53">
        <f t="shared" si="5"/>
        <v>5800</v>
      </c>
      <c r="Z54" s="62">
        <f t="shared" si="6"/>
        <v>0.99999999999999989</v>
      </c>
      <c r="AB54" s="62">
        <f t="shared" si="7"/>
        <v>5.0912754203983127E-2</v>
      </c>
      <c r="AC54" s="62">
        <f t="shared" si="8"/>
        <v>4.6242774566473991E-3</v>
      </c>
      <c r="AD54" s="62">
        <f t="shared" si="9"/>
        <v>2.7531114327062228E-3</v>
      </c>
    </row>
    <row r="55" spans="1:30">
      <c r="A55"/>
      <c r="B55" s="86" t="s">
        <v>80</v>
      </c>
      <c r="C55" s="131">
        <f>'version consolidée hors UE'!AN58</f>
        <v>92</v>
      </c>
      <c r="D55" s="22">
        <f t="shared" si="0"/>
        <v>1.7530454400810973E-4</v>
      </c>
      <c r="E55" s="86">
        <f t="shared" si="1"/>
        <v>73</v>
      </c>
      <c r="R55" s="86" t="s">
        <v>80</v>
      </c>
      <c r="S55" s="53">
        <f>'version consolidée hors UE'!E58</f>
        <v>20</v>
      </c>
      <c r="T55" s="62">
        <f t="shared" si="2"/>
        <v>0.21739130434782608</v>
      </c>
      <c r="U55" s="53">
        <f>'version consolidée hors UE'!L58</f>
        <v>0</v>
      </c>
      <c r="V55" s="62">
        <f t="shared" si="3"/>
        <v>0</v>
      </c>
      <c r="W55" s="53">
        <f>'version consolidée hors UE'!S58+'version consolidée hors UE'!AI58+'version consolidée hors UE'!AK58</f>
        <v>72</v>
      </c>
      <c r="X55" s="62">
        <f t="shared" si="4"/>
        <v>0.78260869565217395</v>
      </c>
      <c r="Y55" s="53">
        <f t="shared" si="5"/>
        <v>92</v>
      </c>
      <c r="Z55" s="62">
        <f t="shared" si="6"/>
        <v>1</v>
      </c>
      <c r="AB55" s="62">
        <f t="shared" si="7"/>
        <v>2.2140793304624103E-4</v>
      </c>
      <c r="AC55" s="62">
        <f t="shared" si="8"/>
        <v>0</v>
      </c>
      <c r="AD55" s="62">
        <f t="shared" si="9"/>
        <v>1.667149059334298E-4</v>
      </c>
    </row>
    <row r="56" spans="1:30">
      <c r="A56"/>
      <c r="B56" s="132" t="s">
        <v>301</v>
      </c>
      <c r="C56" s="131">
        <f>'version consolidée hors UE'!AN59</f>
        <v>11</v>
      </c>
      <c r="D56" s="22">
        <f t="shared" si="0"/>
        <v>2.0960325914013123E-5</v>
      </c>
      <c r="E56" s="86">
        <f t="shared" si="1"/>
        <v>126</v>
      </c>
      <c r="R56" s="132" t="s">
        <v>301</v>
      </c>
      <c r="S56" s="53">
        <f>'version consolidée hors UE'!E59</f>
        <v>4</v>
      </c>
      <c r="T56" s="62">
        <f t="shared" si="2"/>
        <v>0.36363636363636365</v>
      </c>
      <c r="U56" s="53">
        <f>'version consolidée hors UE'!L59</f>
        <v>0</v>
      </c>
      <c r="V56" s="62">
        <f t="shared" si="3"/>
        <v>0</v>
      </c>
      <c r="W56" s="53">
        <f>'version consolidée hors UE'!S59+'version consolidée hors UE'!AI59+'version consolidée hors UE'!AK59</f>
        <v>7</v>
      </c>
      <c r="X56" s="62">
        <f t="shared" si="4"/>
        <v>0.63636363636363635</v>
      </c>
      <c r="Y56" s="53">
        <f t="shared" si="5"/>
        <v>11</v>
      </c>
      <c r="Z56" s="62">
        <f t="shared" si="6"/>
        <v>1</v>
      </c>
      <c r="AB56" s="62">
        <f t="shared" si="7"/>
        <v>4.4281586609248208E-5</v>
      </c>
      <c r="AC56" s="62">
        <f t="shared" si="8"/>
        <v>0</v>
      </c>
      <c r="AD56" s="62">
        <f t="shared" si="9"/>
        <v>1.6208393632416787E-5</v>
      </c>
    </row>
    <row r="57" spans="1:30">
      <c r="A57"/>
      <c r="B57" s="86" t="s">
        <v>81</v>
      </c>
      <c r="C57" s="131">
        <f>'version consolidée hors UE'!AN60</f>
        <v>174</v>
      </c>
      <c r="D57" s="22">
        <f t="shared" si="0"/>
        <v>3.3155424627620756E-4</v>
      </c>
      <c r="E57" s="86">
        <f t="shared" si="1"/>
        <v>62</v>
      </c>
      <c r="R57" s="86" t="s">
        <v>81</v>
      </c>
      <c r="S57" s="53">
        <f>'version consolidée hors UE'!E60</f>
        <v>35</v>
      </c>
      <c r="T57" s="62">
        <f t="shared" si="2"/>
        <v>0.20114942528735633</v>
      </c>
      <c r="U57" s="53">
        <f>'version consolidée hors UE'!L60</f>
        <v>0</v>
      </c>
      <c r="V57" s="62">
        <f t="shared" si="3"/>
        <v>0</v>
      </c>
      <c r="W57" s="53">
        <f>'version consolidée hors UE'!S60+'version consolidée hors UE'!AI60+'version consolidée hors UE'!AK60</f>
        <v>139</v>
      </c>
      <c r="X57" s="62">
        <f t="shared" si="4"/>
        <v>0.79885057471264365</v>
      </c>
      <c r="Y57" s="53">
        <f t="shared" si="5"/>
        <v>174</v>
      </c>
      <c r="Z57" s="62">
        <f t="shared" si="6"/>
        <v>1</v>
      </c>
      <c r="AB57" s="62">
        <f t="shared" si="7"/>
        <v>3.8746388283092181E-4</v>
      </c>
      <c r="AC57" s="62">
        <f t="shared" si="8"/>
        <v>0</v>
      </c>
      <c r="AD57" s="62">
        <f t="shared" si="9"/>
        <v>3.2185238784370476E-4</v>
      </c>
    </row>
    <row r="58" spans="1:30">
      <c r="A58"/>
      <c r="B58" s="86" t="s">
        <v>82</v>
      </c>
      <c r="C58" s="131">
        <f>'version consolidée hors UE'!AN61</f>
        <v>2</v>
      </c>
      <c r="D58" s="22">
        <f t="shared" si="0"/>
        <v>3.8109683480023856E-6</v>
      </c>
      <c r="E58" s="86">
        <f t="shared" si="1"/>
        <v>155</v>
      </c>
      <c r="R58" s="86" t="s">
        <v>82</v>
      </c>
      <c r="S58" s="53">
        <f>'version consolidée hors UE'!E61</f>
        <v>2</v>
      </c>
      <c r="T58" s="62">
        <f t="shared" si="2"/>
        <v>1</v>
      </c>
      <c r="U58" s="53">
        <f>'version consolidée hors UE'!L61</f>
        <v>0</v>
      </c>
      <c r="V58" s="62">
        <f t="shared" si="3"/>
        <v>0</v>
      </c>
      <c r="W58" s="53">
        <f>'version consolidée hors UE'!S61+'version consolidée hors UE'!AI61+'version consolidée hors UE'!AK61</f>
        <v>0</v>
      </c>
      <c r="X58" s="62">
        <f t="shared" si="4"/>
        <v>0</v>
      </c>
      <c r="Y58" s="53">
        <f t="shared" si="5"/>
        <v>2</v>
      </c>
      <c r="Z58" s="62">
        <f t="shared" si="6"/>
        <v>1</v>
      </c>
      <c r="AB58" s="62">
        <f t="shared" si="7"/>
        <v>2.2140793304624104E-5</v>
      </c>
      <c r="AC58" s="62">
        <f t="shared" si="8"/>
        <v>0</v>
      </c>
      <c r="AD58" s="62">
        <f t="shared" si="9"/>
        <v>0</v>
      </c>
    </row>
    <row r="59" spans="1:30">
      <c r="A59"/>
      <c r="B59" s="86" t="s">
        <v>219</v>
      </c>
      <c r="C59" s="131">
        <f>'version consolidée hors UE'!AN62</f>
        <v>42</v>
      </c>
      <c r="D59" s="22">
        <f t="shared" si="0"/>
        <v>8.0030335308050102E-5</v>
      </c>
      <c r="E59" s="86">
        <f t="shared" si="1"/>
        <v>97</v>
      </c>
      <c r="R59" s="86" t="s">
        <v>219</v>
      </c>
      <c r="S59" s="53">
        <f>'version consolidée hors UE'!E62</f>
        <v>17</v>
      </c>
      <c r="T59" s="62">
        <f t="shared" si="2"/>
        <v>0.40476190476190477</v>
      </c>
      <c r="U59" s="53">
        <f>'version consolidée hors UE'!L62</f>
        <v>0</v>
      </c>
      <c r="V59" s="62">
        <f t="shared" si="3"/>
        <v>0</v>
      </c>
      <c r="W59" s="53">
        <f>'version consolidée hors UE'!S62+'version consolidée hors UE'!AI62+'version consolidée hors UE'!AK62</f>
        <v>25</v>
      </c>
      <c r="X59" s="62">
        <f t="shared" si="4"/>
        <v>0.59523809523809523</v>
      </c>
      <c r="Y59" s="53">
        <f t="shared" si="5"/>
        <v>42</v>
      </c>
      <c r="Z59" s="62">
        <f t="shared" si="6"/>
        <v>1</v>
      </c>
      <c r="AB59" s="62">
        <f t="shared" si="7"/>
        <v>1.8819674308930489E-4</v>
      </c>
      <c r="AC59" s="62">
        <f t="shared" si="8"/>
        <v>0</v>
      </c>
      <c r="AD59" s="62">
        <f t="shared" si="9"/>
        <v>5.7887120115774244E-5</v>
      </c>
    </row>
    <row r="60" spans="1:30">
      <c r="A60"/>
      <c r="B60" s="86" t="s">
        <v>83</v>
      </c>
      <c r="C60" s="131">
        <f>'version consolidée hors UE'!AN63</f>
        <v>53</v>
      </c>
      <c r="D60" s="22">
        <f t="shared" si="0"/>
        <v>1.0099066122206322E-4</v>
      </c>
      <c r="E60" s="86">
        <f t="shared" si="1"/>
        <v>90</v>
      </c>
      <c r="R60" s="86" t="s">
        <v>83</v>
      </c>
      <c r="S60" s="53">
        <f>'version consolidée hors UE'!E63</f>
        <v>8</v>
      </c>
      <c r="T60" s="62">
        <f t="shared" si="2"/>
        <v>0.15094339622641509</v>
      </c>
      <c r="U60" s="53">
        <f>'version consolidée hors UE'!L63</f>
        <v>0</v>
      </c>
      <c r="V60" s="62">
        <f t="shared" si="3"/>
        <v>0</v>
      </c>
      <c r="W60" s="53">
        <f>'version consolidée hors UE'!S63+'version consolidée hors UE'!AI63+'version consolidée hors UE'!AK63</f>
        <v>45</v>
      </c>
      <c r="X60" s="62">
        <f t="shared" si="4"/>
        <v>0.84905660377358494</v>
      </c>
      <c r="Y60" s="53">
        <f t="shared" si="5"/>
        <v>53</v>
      </c>
      <c r="Z60" s="62">
        <f t="shared" si="6"/>
        <v>1</v>
      </c>
      <c r="AB60" s="62">
        <f t="shared" si="7"/>
        <v>8.8563173218496417E-5</v>
      </c>
      <c r="AC60" s="62">
        <f t="shared" si="8"/>
        <v>0</v>
      </c>
      <c r="AD60" s="62">
        <f t="shared" si="9"/>
        <v>1.0419681620839363E-4</v>
      </c>
    </row>
    <row r="61" spans="1:30">
      <c r="A61"/>
      <c r="B61" s="132" t="s">
        <v>302</v>
      </c>
      <c r="C61" s="131">
        <f>'version consolidée hors UE'!AN64</f>
        <v>7</v>
      </c>
      <c r="D61" s="22">
        <f t="shared" si="0"/>
        <v>1.333838921800835E-5</v>
      </c>
      <c r="E61" s="86">
        <f t="shared" si="1"/>
        <v>133</v>
      </c>
      <c r="R61" s="132" t="s">
        <v>302</v>
      </c>
      <c r="S61" s="53">
        <f>'version consolidée hors UE'!E64</f>
        <v>7</v>
      </c>
      <c r="T61" s="62">
        <f t="shared" si="2"/>
        <v>1</v>
      </c>
      <c r="U61" s="53">
        <f>'version consolidée hors UE'!L64</f>
        <v>0</v>
      </c>
      <c r="V61" s="62">
        <f t="shared" si="3"/>
        <v>0</v>
      </c>
      <c r="W61" s="53">
        <f>'version consolidée hors UE'!S64+'version consolidée hors UE'!AI64+'version consolidée hors UE'!AK64</f>
        <v>0</v>
      </c>
      <c r="X61" s="62">
        <f t="shared" si="4"/>
        <v>0</v>
      </c>
      <c r="Y61" s="53">
        <f t="shared" si="5"/>
        <v>7</v>
      </c>
      <c r="Z61" s="62">
        <f t="shared" si="6"/>
        <v>1</v>
      </c>
      <c r="AB61" s="62">
        <f t="shared" si="7"/>
        <v>7.7492776566184373E-5</v>
      </c>
      <c r="AC61" s="62">
        <f t="shared" si="8"/>
        <v>0</v>
      </c>
      <c r="AD61" s="62">
        <f t="shared" si="9"/>
        <v>0</v>
      </c>
    </row>
    <row r="62" spans="1:30">
      <c r="A62"/>
      <c r="B62" s="86" t="s">
        <v>84</v>
      </c>
      <c r="C62" s="131">
        <f>'version consolidée hors UE'!AN65</f>
        <v>5</v>
      </c>
      <c r="D62" s="22">
        <f t="shared" si="0"/>
        <v>9.5274208700059641E-6</v>
      </c>
      <c r="E62" s="86">
        <f t="shared" si="1"/>
        <v>140</v>
      </c>
      <c r="R62" s="86" t="s">
        <v>84</v>
      </c>
      <c r="S62" s="53">
        <f>'version consolidée hors UE'!E65</f>
        <v>5</v>
      </c>
      <c r="T62" s="62">
        <f t="shared" si="2"/>
        <v>1</v>
      </c>
      <c r="U62" s="53">
        <f>'version consolidée hors UE'!L65</f>
        <v>0</v>
      </c>
      <c r="V62" s="62">
        <f t="shared" si="3"/>
        <v>0</v>
      </c>
      <c r="W62" s="53">
        <f>'version consolidée hors UE'!S65+'version consolidée hors UE'!AI65+'version consolidée hors UE'!AK65</f>
        <v>0</v>
      </c>
      <c r="X62" s="62">
        <f t="shared" si="4"/>
        <v>0</v>
      </c>
      <c r="Y62" s="53">
        <f t="shared" si="5"/>
        <v>5</v>
      </c>
      <c r="Z62" s="62">
        <f t="shared" si="6"/>
        <v>1</v>
      </c>
      <c r="AB62" s="62">
        <f t="shared" si="7"/>
        <v>5.5351983261560259E-5</v>
      </c>
      <c r="AC62" s="62">
        <f t="shared" si="8"/>
        <v>0</v>
      </c>
      <c r="AD62" s="62">
        <f t="shared" si="9"/>
        <v>0</v>
      </c>
    </row>
    <row r="63" spans="1:30">
      <c r="A63"/>
      <c r="B63" s="86" t="s">
        <v>85</v>
      </c>
      <c r="C63" s="131">
        <f>'version consolidée hors UE'!AN66</f>
        <v>127</v>
      </c>
      <c r="D63" s="22">
        <f t="shared" si="0"/>
        <v>2.4199649009815148E-4</v>
      </c>
      <c r="E63" s="86">
        <f t="shared" si="1"/>
        <v>69</v>
      </c>
      <c r="R63" s="86" t="s">
        <v>85</v>
      </c>
      <c r="S63" s="53">
        <f>'version consolidée hors UE'!E66</f>
        <v>72</v>
      </c>
      <c r="T63" s="62">
        <f t="shared" si="2"/>
        <v>0.56692913385826771</v>
      </c>
      <c r="U63" s="53">
        <f>'version consolidée hors UE'!L66</f>
        <v>0</v>
      </c>
      <c r="V63" s="62">
        <f t="shared" si="3"/>
        <v>0</v>
      </c>
      <c r="W63" s="53">
        <f>'version consolidée hors UE'!S66+'version consolidée hors UE'!AI66+'version consolidée hors UE'!AK66</f>
        <v>55</v>
      </c>
      <c r="X63" s="62">
        <f t="shared" si="4"/>
        <v>0.43307086614173229</v>
      </c>
      <c r="Y63" s="53">
        <f t="shared" si="5"/>
        <v>127</v>
      </c>
      <c r="Z63" s="62">
        <f t="shared" si="6"/>
        <v>1</v>
      </c>
      <c r="AB63" s="62">
        <f t="shared" si="7"/>
        <v>7.9706855896646779E-4</v>
      </c>
      <c r="AC63" s="62">
        <f t="shared" si="8"/>
        <v>0</v>
      </c>
      <c r="AD63" s="62">
        <f t="shared" si="9"/>
        <v>1.2735166425470332E-4</v>
      </c>
    </row>
    <row r="64" spans="1:30">
      <c r="A64"/>
      <c r="B64" s="86" t="s">
        <v>86</v>
      </c>
      <c r="C64" s="131">
        <f>'version consolidée hors UE'!AN67</f>
        <v>14</v>
      </c>
      <c r="D64" s="22">
        <f t="shared" si="0"/>
        <v>2.66767784360167E-5</v>
      </c>
      <c r="E64" s="86">
        <f t="shared" si="1"/>
        <v>121</v>
      </c>
      <c r="R64" s="86" t="s">
        <v>86</v>
      </c>
      <c r="S64" s="53">
        <f>'version consolidée hors UE'!E67</f>
        <v>14</v>
      </c>
      <c r="T64" s="62">
        <f t="shared" si="2"/>
        <v>1</v>
      </c>
      <c r="U64" s="53">
        <f>'version consolidée hors UE'!L67</f>
        <v>0</v>
      </c>
      <c r="V64" s="62">
        <f t="shared" si="3"/>
        <v>0</v>
      </c>
      <c r="W64" s="53">
        <f>'version consolidée hors UE'!S67+'version consolidée hors UE'!AI67+'version consolidée hors UE'!AK67</f>
        <v>0</v>
      </c>
      <c r="X64" s="62">
        <f t="shared" si="4"/>
        <v>0</v>
      </c>
      <c r="Y64" s="53">
        <f t="shared" si="5"/>
        <v>14</v>
      </c>
      <c r="Z64" s="62">
        <f t="shared" si="6"/>
        <v>1</v>
      </c>
      <c r="AB64" s="62">
        <f t="shared" si="7"/>
        <v>1.5498555313236875E-4</v>
      </c>
      <c r="AC64" s="62">
        <f t="shared" si="8"/>
        <v>0</v>
      </c>
      <c r="AD64" s="62">
        <f t="shared" si="9"/>
        <v>0</v>
      </c>
    </row>
    <row r="65" spans="1:30">
      <c r="A65"/>
      <c r="B65" s="86" t="s">
        <v>87</v>
      </c>
      <c r="C65" s="131">
        <f>'version consolidée hors UE'!AN68</f>
        <v>112</v>
      </c>
      <c r="D65" s="22">
        <f t="shared" si="0"/>
        <v>2.134142274881336E-4</v>
      </c>
      <c r="E65" s="86">
        <f t="shared" si="1"/>
        <v>71</v>
      </c>
      <c r="R65" s="86" t="s">
        <v>87</v>
      </c>
      <c r="S65" s="53">
        <f>'version consolidée hors UE'!E68</f>
        <v>45</v>
      </c>
      <c r="T65" s="62">
        <f t="shared" si="2"/>
        <v>0.4017857142857143</v>
      </c>
      <c r="U65" s="53">
        <f>'version consolidée hors UE'!L68</f>
        <v>3</v>
      </c>
      <c r="V65" s="62">
        <f t="shared" si="3"/>
        <v>2.6785714285714284E-2</v>
      </c>
      <c r="W65" s="53">
        <f>'version consolidée hors UE'!S68+'version consolidée hors UE'!AI68+'version consolidée hors UE'!AK68</f>
        <v>64</v>
      </c>
      <c r="X65" s="62">
        <f t="shared" si="4"/>
        <v>0.5714285714285714</v>
      </c>
      <c r="Y65" s="53">
        <f t="shared" si="5"/>
        <v>112</v>
      </c>
      <c r="Z65" s="62">
        <f t="shared" si="6"/>
        <v>1</v>
      </c>
      <c r="AB65" s="62">
        <f t="shared" si="7"/>
        <v>4.9816784935404238E-4</v>
      </c>
      <c r="AC65" s="62">
        <f t="shared" si="8"/>
        <v>1.1560693641618498E-3</v>
      </c>
      <c r="AD65" s="62">
        <f t="shared" si="9"/>
        <v>1.4819102749638206E-4</v>
      </c>
    </row>
    <row r="66" spans="1:30">
      <c r="A66"/>
      <c r="B66" s="66" t="s">
        <v>88</v>
      </c>
      <c r="C66" s="131">
        <f>'version consolidée hors UE'!AN69</f>
        <v>0</v>
      </c>
      <c r="D66" s="22">
        <f t="shared" si="0"/>
        <v>0</v>
      </c>
      <c r="E66" s="86">
        <f t="shared" si="1"/>
        <v>168</v>
      </c>
      <c r="R66" s="66" t="s">
        <v>88</v>
      </c>
      <c r="S66" s="53">
        <f>'version consolidée hors UE'!E69</f>
        <v>0</v>
      </c>
      <c r="T66" s="62" t="e">
        <f t="shared" si="2"/>
        <v>#DIV/0!</v>
      </c>
      <c r="U66" s="53">
        <f>'version consolidée hors UE'!L69</f>
        <v>0</v>
      </c>
      <c r="V66" s="62" t="e">
        <f t="shared" si="3"/>
        <v>#DIV/0!</v>
      </c>
      <c r="W66" s="53">
        <f>'version consolidée hors UE'!S69+'version consolidée hors UE'!AI69+'version consolidée hors UE'!AK69</f>
        <v>0</v>
      </c>
      <c r="X66" s="62" t="e">
        <f t="shared" si="4"/>
        <v>#DIV/0!</v>
      </c>
      <c r="Y66" s="53">
        <f t="shared" si="5"/>
        <v>0</v>
      </c>
      <c r="Z66" s="62" t="e">
        <f t="shared" si="6"/>
        <v>#DIV/0!</v>
      </c>
      <c r="AB66" s="62">
        <f t="shared" si="7"/>
        <v>0</v>
      </c>
      <c r="AC66" s="62">
        <f t="shared" si="8"/>
        <v>0</v>
      </c>
      <c r="AD66" s="62">
        <f t="shared" si="9"/>
        <v>0</v>
      </c>
    </row>
    <row r="67" spans="1:30">
      <c r="A67"/>
      <c r="B67" s="86" t="s">
        <v>260</v>
      </c>
      <c r="C67" s="131">
        <f>'version consolidée hors UE'!AN70</f>
        <v>17</v>
      </c>
      <c r="D67" s="22">
        <f t="shared" si="0"/>
        <v>3.239323095802028E-5</v>
      </c>
      <c r="E67" s="86">
        <f t="shared" si="1"/>
        <v>118</v>
      </c>
      <c r="R67" s="86" t="s">
        <v>260</v>
      </c>
      <c r="S67" s="53">
        <f>'version consolidée hors UE'!E70</f>
        <v>0</v>
      </c>
      <c r="T67" s="62">
        <f t="shared" si="2"/>
        <v>0</v>
      </c>
      <c r="U67" s="53">
        <f>'version consolidée hors UE'!L70</f>
        <v>0</v>
      </c>
      <c r="V67" s="62">
        <f t="shared" si="3"/>
        <v>0</v>
      </c>
      <c r="W67" s="53">
        <f>'version consolidée hors UE'!S70+'version consolidée hors UE'!AI70+'version consolidée hors UE'!AK70</f>
        <v>17</v>
      </c>
      <c r="X67" s="62">
        <f t="shared" si="4"/>
        <v>1</v>
      </c>
      <c r="Y67" s="53">
        <f t="shared" si="5"/>
        <v>17</v>
      </c>
      <c r="Z67" s="62">
        <f t="shared" si="6"/>
        <v>1</v>
      </c>
      <c r="AB67" s="62">
        <f t="shared" si="7"/>
        <v>0</v>
      </c>
      <c r="AC67" s="62">
        <f t="shared" si="8"/>
        <v>0</v>
      </c>
      <c r="AD67" s="62">
        <f t="shared" si="9"/>
        <v>3.9363241678726486E-5</v>
      </c>
    </row>
    <row r="68" spans="1:30">
      <c r="A68"/>
      <c r="B68" s="86" t="s">
        <v>215</v>
      </c>
      <c r="C68" s="131">
        <f>'version consolidée hors UE'!AN71</f>
        <v>0</v>
      </c>
      <c r="D68" s="22">
        <f t="shared" si="0"/>
        <v>0</v>
      </c>
      <c r="E68" s="86">
        <f t="shared" si="1"/>
        <v>168</v>
      </c>
      <c r="R68" s="86" t="s">
        <v>215</v>
      </c>
      <c r="S68" s="53">
        <f>'version consolidée hors UE'!E71</f>
        <v>0</v>
      </c>
      <c r="T68" s="62" t="e">
        <f t="shared" si="2"/>
        <v>#DIV/0!</v>
      </c>
      <c r="U68" s="53">
        <f>'version consolidée hors UE'!L71</f>
        <v>0</v>
      </c>
      <c r="V68" s="62" t="e">
        <f t="shared" si="3"/>
        <v>#DIV/0!</v>
      </c>
      <c r="W68" s="53">
        <f>'version consolidée hors UE'!S71+'version consolidée hors UE'!AI71+'version consolidée hors UE'!AK71</f>
        <v>0</v>
      </c>
      <c r="X68" s="62" t="e">
        <f t="shared" si="4"/>
        <v>#DIV/0!</v>
      </c>
      <c r="Y68" s="53">
        <f t="shared" si="5"/>
        <v>0</v>
      </c>
      <c r="Z68" s="62" t="e">
        <f t="shared" si="6"/>
        <v>#DIV/0!</v>
      </c>
      <c r="AB68" s="62">
        <f t="shared" si="7"/>
        <v>0</v>
      </c>
      <c r="AC68" s="62">
        <f t="shared" si="8"/>
        <v>0</v>
      </c>
      <c r="AD68" s="62">
        <f t="shared" si="9"/>
        <v>0</v>
      </c>
    </row>
    <row r="69" spans="1:30">
      <c r="A69"/>
      <c r="B69" s="86" t="s">
        <v>165</v>
      </c>
      <c r="C69" s="131">
        <f>'version consolidée hors UE'!AN72</f>
        <v>63</v>
      </c>
      <c r="D69" s="22">
        <f t="shared" ref="D69:D132" si="10">C69/$C$190</f>
        <v>1.2004550296207515E-4</v>
      </c>
      <c r="E69" s="86">
        <f t="shared" ref="E69:E132" si="11">RANK(C69,$C$4:$C$189)</f>
        <v>86</v>
      </c>
      <c r="R69" s="86" t="s">
        <v>165</v>
      </c>
      <c r="S69" s="53">
        <f>'version consolidée hors UE'!E72</f>
        <v>32</v>
      </c>
      <c r="T69" s="62">
        <f t="shared" ref="T69:T132" si="12">S69/Y69</f>
        <v>0.50793650793650791</v>
      </c>
      <c r="U69" s="53">
        <f>'version consolidée hors UE'!L72</f>
        <v>2</v>
      </c>
      <c r="V69" s="62">
        <f t="shared" ref="V69:V132" si="13">U69/Y69</f>
        <v>3.1746031746031744E-2</v>
      </c>
      <c r="W69" s="53">
        <f>'version consolidée hors UE'!S72+'version consolidée hors UE'!AI72+'version consolidée hors UE'!AK72</f>
        <v>29</v>
      </c>
      <c r="X69" s="62">
        <f t="shared" ref="X69:X132" si="14">W69/Y69</f>
        <v>0.46031746031746029</v>
      </c>
      <c r="Y69" s="53">
        <f t="shared" ref="Y69:Y132" si="15">S69+U69+W69</f>
        <v>63</v>
      </c>
      <c r="Z69" s="62">
        <f t="shared" ref="Z69:Z132" si="16">T69+V69+X69</f>
        <v>1</v>
      </c>
      <c r="AB69" s="62">
        <f t="shared" ref="AB69:AB132" si="17">S69/$S$190</f>
        <v>3.5425269287398567E-4</v>
      </c>
      <c r="AC69" s="62">
        <f t="shared" ref="AC69:AC132" si="18">U69/$U$190</f>
        <v>7.7071290944123315E-4</v>
      </c>
      <c r="AD69" s="62">
        <f t="shared" ref="AD69:AD132" si="19">W69/$W$190</f>
        <v>6.7149059334298112E-5</v>
      </c>
    </row>
    <row r="70" spans="1:30">
      <c r="A70"/>
      <c r="B70" s="86" t="s">
        <v>89</v>
      </c>
      <c r="C70" s="131">
        <f>'version consolidée hors UE'!AN73</f>
        <v>46</v>
      </c>
      <c r="D70" s="22">
        <f t="shared" si="10"/>
        <v>8.7652272004054866E-5</v>
      </c>
      <c r="E70" s="86">
        <f t="shared" si="11"/>
        <v>94</v>
      </c>
      <c r="R70" s="86" t="s">
        <v>89</v>
      </c>
      <c r="S70" s="53">
        <f>'version consolidée hors UE'!E73</f>
        <v>16</v>
      </c>
      <c r="T70" s="62">
        <f t="shared" si="12"/>
        <v>0.34782608695652173</v>
      </c>
      <c r="U70" s="53">
        <f>'version consolidée hors UE'!L73</f>
        <v>0</v>
      </c>
      <c r="V70" s="62">
        <f t="shared" si="13"/>
        <v>0</v>
      </c>
      <c r="W70" s="53">
        <f>'version consolidée hors UE'!S73+'version consolidée hors UE'!AI73+'version consolidée hors UE'!AK73</f>
        <v>30</v>
      </c>
      <c r="X70" s="62">
        <f t="shared" si="14"/>
        <v>0.65217391304347827</v>
      </c>
      <c r="Y70" s="53">
        <f t="shared" si="15"/>
        <v>46</v>
      </c>
      <c r="Z70" s="62">
        <f t="shared" si="16"/>
        <v>1</v>
      </c>
      <c r="AB70" s="62">
        <f t="shared" si="17"/>
        <v>1.7712634643699283E-4</v>
      </c>
      <c r="AC70" s="62">
        <f t="shared" si="18"/>
        <v>0</v>
      </c>
      <c r="AD70" s="62">
        <f t="shared" si="19"/>
        <v>6.946454413892909E-5</v>
      </c>
    </row>
    <row r="71" spans="1:30">
      <c r="A71"/>
      <c r="B71" s="86" t="s">
        <v>90</v>
      </c>
      <c r="C71" s="131">
        <f>'version consolidée hors UE'!AN74</f>
        <v>832</v>
      </c>
      <c r="D71" s="22">
        <f t="shared" si="10"/>
        <v>1.5853628327689925E-3</v>
      </c>
      <c r="E71" s="86">
        <f t="shared" si="11"/>
        <v>33</v>
      </c>
      <c r="R71" s="86" t="s">
        <v>90</v>
      </c>
      <c r="S71" s="53">
        <f>'version consolidée hors UE'!E74</f>
        <v>624</v>
      </c>
      <c r="T71" s="62">
        <f t="shared" si="12"/>
        <v>0.75</v>
      </c>
      <c r="U71" s="53">
        <f>'version consolidée hors UE'!L74</f>
        <v>23</v>
      </c>
      <c r="V71" s="62">
        <f t="shared" si="13"/>
        <v>2.7644230769230768E-2</v>
      </c>
      <c r="W71" s="53">
        <f>'version consolidée hors UE'!S74+'version consolidée hors UE'!AI74+'version consolidée hors UE'!AK74</f>
        <v>185</v>
      </c>
      <c r="X71" s="62">
        <f t="shared" si="14"/>
        <v>0.22235576923076922</v>
      </c>
      <c r="Y71" s="53">
        <f t="shared" si="15"/>
        <v>832</v>
      </c>
      <c r="Z71" s="62">
        <f t="shared" si="16"/>
        <v>1</v>
      </c>
      <c r="AB71" s="62">
        <f t="shared" si="17"/>
        <v>6.9079275110427206E-3</v>
      </c>
      <c r="AC71" s="62">
        <f t="shared" si="18"/>
        <v>8.8631984585741813E-3</v>
      </c>
      <c r="AD71" s="62">
        <f t="shared" si="19"/>
        <v>4.283646888567294E-4</v>
      </c>
    </row>
    <row r="72" spans="1:30">
      <c r="A72"/>
      <c r="B72" s="86" t="s">
        <v>91</v>
      </c>
      <c r="C72" s="131">
        <f>'version consolidée hors UE'!AN75</f>
        <v>1721</v>
      </c>
      <c r="D72" s="22">
        <f t="shared" si="10"/>
        <v>3.2793382634560527E-3</v>
      </c>
      <c r="E72" s="86">
        <f t="shared" si="11"/>
        <v>21</v>
      </c>
      <c r="R72" s="86" t="s">
        <v>91</v>
      </c>
      <c r="S72" s="53">
        <f>'version consolidée hors UE'!E75</f>
        <v>1538</v>
      </c>
      <c r="T72" s="62">
        <f t="shared" si="12"/>
        <v>0.89366647298082513</v>
      </c>
      <c r="U72" s="53">
        <f>'version consolidée hors UE'!L75</f>
        <v>1</v>
      </c>
      <c r="V72" s="62">
        <f t="shared" si="13"/>
        <v>5.8105752469494478E-4</v>
      </c>
      <c r="W72" s="53">
        <f>'version consolidée hors UE'!S75+'version consolidée hors UE'!AI75+'version consolidée hors UE'!AK75</f>
        <v>182</v>
      </c>
      <c r="X72" s="62">
        <f t="shared" si="14"/>
        <v>0.10575246949447996</v>
      </c>
      <c r="Y72" s="53">
        <f t="shared" si="15"/>
        <v>1721</v>
      </c>
      <c r="Z72" s="62">
        <f t="shared" si="16"/>
        <v>1</v>
      </c>
      <c r="AB72" s="62">
        <f t="shared" si="17"/>
        <v>1.7026270051255937E-2</v>
      </c>
      <c r="AC72" s="62">
        <f t="shared" si="18"/>
        <v>3.8535645472061658E-4</v>
      </c>
      <c r="AD72" s="62">
        <f t="shared" si="19"/>
        <v>4.2141823444283646E-4</v>
      </c>
    </row>
    <row r="73" spans="1:30">
      <c r="A73"/>
      <c r="B73" s="86" t="s">
        <v>93</v>
      </c>
      <c r="C73" s="131">
        <f>'version consolidée hors UE'!AN76</f>
        <v>4</v>
      </c>
      <c r="D73" s="22">
        <f t="shared" si="10"/>
        <v>7.6219366960047713E-6</v>
      </c>
      <c r="E73" s="86">
        <f t="shared" si="11"/>
        <v>144</v>
      </c>
      <c r="R73" s="86" t="s">
        <v>93</v>
      </c>
      <c r="S73" s="53">
        <f>'version consolidée hors UE'!E76</f>
        <v>0</v>
      </c>
      <c r="T73" s="62">
        <f t="shared" si="12"/>
        <v>0</v>
      </c>
      <c r="U73" s="53">
        <f>'version consolidée hors UE'!L76</f>
        <v>0</v>
      </c>
      <c r="V73" s="62">
        <f t="shared" si="13"/>
        <v>0</v>
      </c>
      <c r="W73" s="53">
        <f>'version consolidée hors UE'!S76+'version consolidée hors UE'!AI76+'version consolidée hors UE'!AK76</f>
        <v>4</v>
      </c>
      <c r="X73" s="62">
        <f t="shared" si="14"/>
        <v>1</v>
      </c>
      <c r="Y73" s="53">
        <f t="shared" si="15"/>
        <v>4</v>
      </c>
      <c r="Z73" s="62">
        <f t="shared" si="16"/>
        <v>1</v>
      </c>
      <c r="AB73" s="62">
        <f t="shared" si="17"/>
        <v>0</v>
      </c>
      <c r="AC73" s="62">
        <f t="shared" si="18"/>
        <v>0</v>
      </c>
      <c r="AD73" s="62">
        <f t="shared" si="19"/>
        <v>9.2619392185238788E-6</v>
      </c>
    </row>
    <row r="74" spans="1:30">
      <c r="A74"/>
      <c r="B74" s="86" t="s">
        <v>92</v>
      </c>
      <c r="C74" s="131">
        <f>'version consolidée hors UE'!AN77</f>
        <v>79</v>
      </c>
      <c r="D74" s="22">
        <f t="shared" si="10"/>
        <v>1.5053324974609422E-4</v>
      </c>
      <c r="E74" s="86">
        <f t="shared" si="11"/>
        <v>79</v>
      </c>
      <c r="R74" s="86" t="s">
        <v>92</v>
      </c>
      <c r="S74" s="53">
        <f>'version consolidée hors UE'!E77</f>
        <v>49</v>
      </c>
      <c r="T74" s="62">
        <f t="shared" si="12"/>
        <v>0.620253164556962</v>
      </c>
      <c r="U74" s="53">
        <f>'version consolidée hors UE'!L77</f>
        <v>0</v>
      </c>
      <c r="V74" s="62">
        <f t="shared" si="13"/>
        <v>0</v>
      </c>
      <c r="W74" s="53">
        <f>'version consolidée hors UE'!S77+'version consolidée hors UE'!AI77+'version consolidée hors UE'!AK77</f>
        <v>30</v>
      </c>
      <c r="X74" s="62">
        <f t="shared" si="14"/>
        <v>0.379746835443038</v>
      </c>
      <c r="Y74" s="53">
        <f t="shared" si="15"/>
        <v>79</v>
      </c>
      <c r="Z74" s="62">
        <f t="shared" si="16"/>
        <v>1</v>
      </c>
      <c r="AB74" s="62">
        <f t="shared" si="17"/>
        <v>5.4244943596329061E-4</v>
      </c>
      <c r="AC74" s="62">
        <f t="shared" si="18"/>
        <v>0</v>
      </c>
      <c r="AD74" s="62">
        <f t="shared" si="19"/>
        <v>6.946454413892909E-5</v>
      </c>
    </row>
    <row r="75" spans="1:30">
      <c r="A75"/>
      <c r="B75" s="86" t="s">
        <v>94</v>
      </c>
      <c r="C75" s="131">
        <f>'version consolidée hors UE'!AN78</f>
        <v>2709</v>
      </c>
      <c r="D75" s="22">
        <f t="shared" si="10"/>
        <v>5.1619566273692317E-3</v>
      </c>
      <c r="E75" s="86">
        <f t="shared" si="11"/>
        <v>16</v>
      </c>
      <c r="R75" s="86" t="s">
        <v>94</v>
      </c>
      <c r="S75" s="53">
        <f>'version consolidée hors UE'!E78</f>
        <v>2582</v>
      </c>
      <c r="T75" s="62">
        <f t="shared" si="12"/>
        <v>0.95311923218899963</v>
      </c>
      <c r="U75" s="53">
        <f>'version consolidée hors UE'!L78</f>
        <v>21</v>
      </c>
      <c r="V75" s="62">
        <f t="shared" si="13"/>
        <v>7.7519379844961239E-3</v>
      </c>
      <c r="W75" s="53">
        <f>'version consolidée hors UE'!S78+'version consolidée hors UE'!AI78+'version consolidée hors UE'!AK78</f>
        <v>106</v>
      </c>
      <c r="X75" s="62">
        <f t="shared" si="14"/>
        <v>3.9128829826504244E-2</v>
      </c>
      <c r="Y75" s="53">
        <f t="shared" si="15"/>
        <v>2709</v>
      </c>
      <c r="Z75" s="62">
        <f t="shared" si="16"/>
        <v>1</v>
      </c>
      <c r="AB75" s="62">
        <f t="shared" si="17"/>
        <v>2.858376415626972E-2</v>
      </c>
      <c r="AC75" s="62">
        <f t="shared" si="18"/>
        <v>8.0924855491329474E-3</v>
      </c>
      <c r="AD75" s="62">
        <f t="shared" si="19"/>
        <v>2.4544138929088278E-4</v>
      </c>
    </row>
    <row r="76" spans="1:30">
      <c r="A76"/>
      <c r="B76" s="86" t="s">
        <v>95</v>
      </c>
      <c r="C76" s="131">
        <f>'version consolidée hors UE'!AN79</f>
        <v>27</v>
      </c>
      <c r="D76" s="22">
        <f t="shared" si="10"/>
        <v>5.1448072698032204E-5</v>
      </c>
      <c r="E76" s="86">
        <f t="shared" si="11"/>
        <v>108</v>
      </c>
      <c r="R76" s="86" t="s">
        <v>95</v>
      </c>
      <c r="S76" s="53">
        <f>'version consolidée hors UE'!E79</f>
        <v>26</v>
      </c>
      <c r="T76" s="62">
        <f t="shared" si="12"/>
        <v>0.96296296296296291</v>
      </c>
      <c r="U76" s="53">
        <f>'version consolidée hors UE'!L79</f>
        <v>0</v>
      </c>
      <c r="V76" s="62">
        <f t="shared" si="13"/>
        <v>0</v>
      </c>
      <c r="W76" s="53">
        <f>'version consolidée hors UE'!S79+'version consolidée hors UE'!AI79+'version consolidée hors UE'!AK79</f>
        <v>1</v>
      </c>
      <c r="X76" s="62">
        <f t="shared" si="14"/>
        <v>3.7037037037037035E-2</v>
      </c>
      <c r="Y76" s="53">
        <f t="shared" si="15"/>
        <v>27</v>
      </c>
      <c r="Z76" s="62">
        <f t="shared" si="16"/>
        <v>1</v>
      </c>
      <c r="AB76" s="62">
        <f t="shared" si="17"/>
        <v>2.8783031296011338E-4</v>
      </c>
      <c r="AC76" s="62">
        <f t="shared" si="18"/>
        <v>0</v>
      </c>
      <c r="AD76" s="62">
        <f t="shared" si="19"/>
        <v>2.3154848046309697E-6</v>
      </c>
    </row>
    <row r="77" spans="1:30">
      <c r="A77"/>
      <c r="B77" s="86" t="s">
        <v>96</v>
      </c>
      <c r="C77" s="131">
        <f>'version consolidée hors UE'!AN80</f>
        <v>1043</v>
      </c>
      <c r="D77" s="22">
        <f t="shared" si="10"/>
        <v>1.9874199934832443E-3</v>
      </c>
      <c r="E77" s="86">
        <f t="shared" si="11"/>
        <v>28</v>
      </c>
      <c r="R77" s="86" t="s">
        <v>96</v>
      </c>
      <c r="S77" s="53">
        <f>'version consolidée hors UE'!E80</f>
        <v>743</v>
      </c>
      <c r="T77" s="62">
        <f t="shared" si="12"/>
        <v>0.71236816874400766</v>
      </c>
      <c r="U77" s="53">
        <f>'version consolidée hors UE'!L80</f>
        <v>1</v>
      </c>
      <c r="V77" s="62">
        <f t="shared" si="13"/>
        <v>9.5877277085330771E-4</v>
      </c>
      <c r="W77" s="53">
        <f>'version consolidée hors UE'!S80+'version consolidée hors UE'!AI80+'version consolidée hors UE'!AK80</f>
        <v>299</v>
      </c>
      <c r="X77" s="62">
        <f t="shared" si="14"/>
        <v>0.28667305848513902</v>
      </c>
      <c r="Y77" s="53">
        <f t="shared" si="15"/>
        <v>1043</v>
      </c>
      <c r="Z77" s="62">
        <f t="shared" si="16"/>
        <v>1</v>
      </c>
      <c r="AB77" s="62">
        <f t="shared" si="17"/>
        <v>8.2253047126678545E-3</v>
      </c>
      <c r="AC77" s="62">
        <f t="shared" si="18"/>
        <v>3.8535645472061658E-4</v>
      </c>
      <c r="AD77" s="62">
        <f t="shared" si="19"/>
        <v>6.9232995658465989E-4</v>
      </c>
    </row>
    <row r="78" spans="1:30">
      <c r="A78"/>
      <c r="B78" s="86" t="s">
        <v>97</v>
      </c>
      <c r="C78" s="131">
        <f>'version consolidée hors UE'!AN81</f>
        <v>6</v>
      </c>
      <c r="D78" s="22">
        <f t="shared" si="10"/>
        <v>1.1432905044007157E-5</v>
      </c>
      <c r="E78" s="86">
        <f t="shared" si="11"/>
        <v>137</v>
      </c>
      <c r="R78" s="86" t="s">
        <v>97</v>
      </c>
      <c r="S78" s="53">
        <f>'version consolidée hors UE'!E81</f>
        <v>5</v>
      </c>
      <c r="T78" s="62">
        <f t="shared" si="12"/>
        <v>0.83333333333333337</v>
      </c>
      <c r="U78" s="53">
        <f>'version consolidée hors UE'!L81</f>
        <v>0</v>
      </c>
      <c r="V78" s="62">
        <f t="shared" si="13"/>
        <v>0</v>
      </c>
      <c r="W78" s="53">
        <f>'version consolidée hors UE'!S81+'version consolidée hors UE'!AI81+'version consolidée hors UE'!AK81</f>
        <v>1</v>
      </c>
      <c r="X78" s="62">
        <f t="shared" si="14"/>
        <v>0.16666666666666666</v>
      </c>
      <c r="Y78" s="53">
        <f t="shared" si="15"/>
        <v>6</v>
      </c>
      <c r="Z78" s="62">
        <f t="shared" si="16"/>
        <v>1</v>
      </c>
      <c r="AB78" s="62">
        <f t="shared" si="17"/>
        <v>5.5351983261560259E-5</v>
      </c>
      <c r="AC78" s="62">
        <f t="shared" si="18"/>
        <v>0</v>
      </c>
      <c r="AD78" s="62">
        <f t="shared" si="19"/>
        <v>2.3154848046309697E-6</v>
      </c>
    </row>
    <row r="79" spans="1:30">
      <c r="A79"/>
      <c r="B79" s="86" t="s">
        <v>98</v>
      </c>
      <c r="C79" s="131">
        <f>'version consolidée hors UE'!AN82</f>
        <v>87</v>
      </c>
      <c r="D79" s="22">
        <f t="shared" si="10"/>
        <v>1.6577712313810378E-4</v>
      </c>
      <c r="E79" s="86">
        <f t="shared" si="11"/>
        <v>74</v>
      </c>
      <c r="R79" s="86" t="s">
        <v>98</v>
      </c>
      <c r="S79" s="53">
        <f>'version consolidée hors UE'!E82</f>
        <v>32</v>
      </c>
      <c r="T79" s="62">
        <f t="shared" si="12"/>
        <v>0.36781609195402298</v>
      </c>
      <c r="U79" s="53">
        <f>'version consolidée hors UE'!L82</f>
        <v>0</v>
      </c>
      <c r="V79" s="62">
        <f t="shared" si="13"/>
        <v>0</v>
      </c>
      <c r="W79" s="53">
        <f>'version consolidée hors UE'!S82+'version consolidée hors UE'!AI82+'version consolidée hors UE'!AK82</f>
        <v>55</v>
      </c>
      <c r="X79" s="62">
        <f t="shared" si="14"/>
        <v>0.63218390804597702</v>
      </c>
      <c r="Y79" s="53">
        <f t="shared" si="15"/>
        <v>87</v>
      </c>
      <c r="Z79" s="62">
        <f t="shared" si="16"/>
        <v>1</v>
      </c>
      <c r="AB79" s="62">
        <f t="shared" si="17"/>
        <v>3.5425269287398567E-4</v>
      </c>
      <c r="AC79" s="62">
        <f t="shared" si="18"/>
        <v>0</v>
      </c>
      <c r="AD79" s="62">
        <f t="shared" si="19"/>
        <v>1.2735166425470332E-4</v>
      </c>
    </row>
    <row r="80" spans="1:30">
      <c r="A80"/>
      <c r="B80" s="86" t="s">
        <v>99</v>
      </c>
      <c r="C80" s="131">
        <f>'version consolidée hors UE'!AN83</f>
        <v>4</v>
      </c>
      <c r="D80" s="22">
        <f t="shared" si="10"/>
        <v>7.6219366960047713E-6</v>
      </c>
      <c r="E80" s="86">
        <f t="shared" si="11"/>
        <v>144</v>
      </c>
      <c r="R80" s="86" t="s">
        <v>99</v>
      </c>
      <c r="S80" s="53">
        <f>'version consolidée hors UE'!E83</f>
        <v>1</v>
      </c>
      <c r="T80" s="62">
        <f t="shared" si="12"/>
        <v>0.25</v>
      </c>
      <c r="U80" s="53">
        <f>'version consolidée hors UE'!L83</f>
        <v>0</v>
      </c>
      <c r="V80" s="62">
        <f t="shared" si="13"/>
        <v>0</v>
      </c>
      <c r="W80" s="53">
        <f>'version consolidée hors UE'!S83+'version consolidée hors UE'!AI83+'version consolidée hors UE'!AK83</f>
        <v>3</v>
      </c>
      <c r="X80" s="62">
        <f t="shared" si="14"/>
        <v>0.75</v>
      </c>
      <c r="Y80" s="53">
        <f t="shared" si="15"/>
        <v>4</v>
      </c>
      <c r="Z80" s="62">
        <f t="shared" si="16"/>
        <v>1</v>
      </c>
      <c r="AB80" s="62">
        <f t="shared" si="17"/>
        <v>1.1070396652312052E-5</v>
      </c>
      <c r="AC80" s="62">
        <f t="shared" si="18"/>
        <v>0</v>
      </c>
      <c r="AD80" s="62">
        <f t="shared" si="19"/>
        <v>6.9464544138929091E-6</v>
      </c>
    </row>
    <row r="81" spans="1:30">
      <c r="A81"/>
      <c r="B81" s="86" t="s">
        <v>100</v>
      </c>
      <c r="C81" s="131">
        <f>'version consolidée hors UE'!AN84</f>
        <v>146</v>
      </c>
      <c r="D81" s="22">
        <f t="shared" si="10"/>
        <v>2.7820068940417414E-4</v>
      </c>
      <c r="E81" s="86">
        <f t="shared" si="11"/>
        <v>65</v>
      </c>
      <c r="R81" s="86" t="s">
        <v>100</v>
      </c>
      <c r="S81" s="53">
        <f>'version consolidée hors UE'!E84</f>
        <v>80</v>
      </c>
      <c r="T81" s="62">
        <f t="shared" si="12"/>
        <v>0.54794520547945202</v>
      </c>
      <c r="U81" s="53">
        <f>'version consolidée hors UE'!L84</f>
        <v>0</v>
      </c>
      <c r="V81" s="62">
        <f t="shared" si="13"/>
        <v>0</v>
      </c>
      <c r="W81" s="53">
        <f>'version consolidée hors UE'!S84+'version consolidée hors UE'!AI84+'version consolidée hors UE'!AK84</f>
        <v>66</v>
      </c>
      <c r="X81" s="62">
        <f t="shared" si="14"/>
        <v>0.45205479452054792</v>
      </c>
      <c r="Y81" s="53">
        <f t="shared" si="15"/>
        <v>146</v>
      </c>
      <c r="Z81" s="62">
        <f t="shared" si="16"/>
        <v>1</v>
      </c>
      <c r="AB81" s="62">
        <f t="shared" si="17"/>
        <v>8.8563173218496414E-4</v>
      </c>
      <c r="AC81" s="62">
        <f t="shared" si="18"/>
        <v>0</v>
      </c>
      <c r="AD81" s="62">
        <f t="shared" si="19"/>
        <v>1.5282199710564399E-4</v>
      </c>
    </row>
    <row r="82" spans="1:30">
      <c r="A82"/>
      <c r="B82" s="86" t="s">
        <v>101</v>
      </c>
      <c r="C82" s="131">
        <f>'version consolidée hors UE'!AN85</f>
        <v>7</v>
      </c>
      <c r="D82" s="22">
        <f t="shared" si="10"/>
        <v>1.333838921800835E-5</v>
      </c>
      <c r="E82" s="86">
        <f t="shared" si="11"/>
        <v>133</v>
      </c>
      <c r="R82" s="86" t="s">
        <v>101</v>
      </c>
      <c r="S82" s="53">
        <f>'version consolidée hors UE'!E85</f>
        <v>7</v>
      </c>
      <c r="T82" s="62">
        <f t="shared" si="12"/>
        <v>1</v>
      </c>
      <c r="U82" s="53">
        <f>'version consolidée hors UE'!L85</f>
        <v>0</v>
      </c>
      <c r="V82" s="62">
        <f t="shared" si="13"/>
        <v>0</v>
      </c>
      <c r="W82" s="53">
        <f>'version consolidée hors UE'!S85+'version consolidée hors UE'!AI85+'version consolidée hors UE'!AK85</f>
        <v>0</v>
      </c>
      <c r="X82" s="62">
        <f t="shared" si="14"/>
        <v>0</v>
      </c>
      <c r="Y82" s="53">
        <f t="shared" si="15"/>
        <v>7</v>
      </c>
      <c r="Z82" s="62">
        <f t="shared" si="16"/>
        <v>1</v>
      </c>
      <c r="AB82" s="62">
        <f t="shared" si="17"/>
        <v>7.7492776566184373E-5</v>
      </c>
      <c r="AC82" s="62">
        <f t="shared" si="18"/>
        <v>0</v>
      </c>
      <c r="AD82" s="62">
        <f t="shared" si="19"/>
        <v>0</v>
      </c>
    </row>
    <row r="83" spans="1:30">
      <c r="A83"/>
      <c r="B83" s="132" t="s">
        <v>303</v>
      </c>
      <c r="C83" s="131">
        <f>'version consolidée hors UE'!AN86</f>
        <v>0</v>
      </c>
      <c r="D83" s="22">
        <f t="shared" si="10"/>
        <v>0</v>
      </c>
      <c r="E83" s="86">
        <f t="shared" si="11"/>
        <v>168</v>
      </c>
      <c r="R83" s="132" t="s">
        <v>303</v>
      </c>
      <c r="S83" s="53">
        <f>'version consolidée hors UE'!E86</f>
        <v>0</v>
      </c>
      <c r="T83" s="62" t="e">
        <f t="shared" si="12"/>
        <v>#DIV/0!</v>
      </c>
      <c r="U83" s="53">
        <f>'version consolidée hors UE'!L86</f>
        <v>0</v>
      </c>
      <c r="V83" s="62" t="e">
        <f t="shared" si="13"/>
        <v>#DIV/0!</v>
      </c>
      <c r="W83" s="53">
        <f>'version consolidée hors UE'!S86+'version consolidée hors UE'!AI86+'version consolidée hors UE'!AK86</f>
        <v>0</v>
      </c>
      <c r="X83" s="62" t="e">
        <f t="shared" si="14"/>
        <v>#DIV/0!</v>
      </c>
      <c r="Y83" s="53">
        <f t="shared" si="15"/>
        <v>0</v>
      </c>
      <c r="Z83" s="62" t="e">
        <f t="shared" si="16"/>
        <v>#DIV/0!</v>
      </c>
      <c r="AB83" s="62">
        <f t="shared" si="17"/>
        <v>0</v>
      </c>
      <c r="AC83" s="62">
        <f t="shared" si="18"/>
        <v>0</v>
      </c>
      <c r="AD83" s="62">
        <f t="shared" si="19"/>
        <v>0</v>
      </c>
    </row>
    <row r="84" spans="1:30">
      <c r="A84"/>
      <c r="B84" s="132" t="s">
        <v>268</v>
      </c>
      <c r="C84" s="131">
        <f>'version consolidée hors UE'!AN87</f>
        <v>44</v>
      </c>
      <c r="D84" s="22">
        <f t="shared" si="10"/>
        <v>8.3841303656052491E-5</v>
      </c>
      <c r="E84" s="86">
        <f t="shared" si="11"/>
        <v>96</v>
      </c>
      <c r="R84" s="132" t="s">
        <v>268</v>
      </c>
      <c r="S84" s="53">
        <f>'version consolidée hors UE'!E87</f>
        <v>40</v>
      </c>
      <c r="T84" s="62">
        <f t="shared" si="12"/>
        <v>0.90909090909090906</v>
      </c>
      <c r="U84" s="53">
        <f>'version consolidée hors UE'!L87</f>
        <v>3</v>
      </c>
      <c r="V84" s="62">
        <f t="shared" si="13"/>
        <v>6.8181818181818177E-2</v>
      </c>
      <c r="W84" s="53">
        <f>'version consolidée hors UE'!S87+'version consolidée hors UE'!AI87+'version consolidée hors UE'!AK87</f>
        <v>1</v>
      </c>
      <c r="X84" s="62">
        <f t="shared" si="14"/>
        <v>2.2727272727272728E-2</v>
      </c>
      <c r="Y84" s="53">
        <f t="shared" si="15"/>
        <v>44</v>
      </c>
      <c r="Z84" s="62">
        <f t="shared" si="16"/>
        <v>1</v>
      </c>
      <c r="AB84" s="62">
        <f t="shared" si="17"/>
        <v>4.4281586609248207E-4</v>
      </c>
      <c r="AC84" s="62">
        <f t="shared" si="18"/>
        <v>1.1560693641618498E-3</v>
      </c>
      <c r="AD84" s="62">
        <f t="shared" si="19"/>
        <v>2.3154848046309697E-6</v>
      </c>
    </row>
    <row r="85" spans="1:30">
      <c r="A85"/>
      <c r="B85" s="86" t="s">
        <v>102</v>
      </c>
      <c r="C85" s="131">
        <f>'version consolidée hors UE'!AN88</f>
        <v>27</v>
      </c>
      <c r="D85" s="22">
        <f t="shared" si="10"/>
        <v>5.1448072698032204E-5</v>
      </c>
      <c r="E85" s="86">
        <f t="shared" si="11"/>
        <v>108</v>
      </c>
      <c r="R85" s="86" t="s">
        <v>102</v>
      </c>
      <c r="S85" s="53">
        <f>'version consolidée hors UE'!E88</f>
        <v>4</v>
      </c>
      <c r="T85" s="62">
        <f t="shared" si="12"/>
        <v>0.14814814814814814</v>
      </c>
      <c r="U85" s="53">
        <f>'version consolidée hors UE'!L88</f>
        <v>0</v>
      </c>
      <c r="V85" s="62">
        <f t="shared" si="13"/>
        <v>0</v>
      </c>
      <c r="W85" s="53">
        <f>'version consolidée hors UE'!S88+'version consolidée hors UE'!AI88+'version consolidée hors UE'!AK88</f>
        <v>23</v>
      </c>
      <c r="X85" s="62">
        <f t="shared" si="14"/>
        <v>0.85185185185185186</v>
      </c>
      <c r="Y85" s="53">
        <f t="shared" si="15"/>
        <v>27</v>
      </c>
      <c r="Z85" s="62">
        <f t="shared" si="16"/>
        <v>1</v>
      </c>
      <c r="AB85" s="62">
        <f t="shared" si="17"/>
        <v>4.4281586609248208E-5</v>
      </c>
      <c r="AC85" s="62">
        <f t="shared" si="18"/>
        <v>0</v>
      </c>
      <c r="AD85" s="62">
        <f t="shared" si="19"/>
        <v>5.3256150506512302E-5</v>
      </c>
    </row>
    <row r="86" spans="1:30">
      <c r="A86"/>
      <c r="B86" s="86" t="s">
        <v>103</v>
      </c>
      <c r="C86" s="131">
        <f>'version consolidée hors UE'!AN89</f>
        <v>237</v>
      </c>
      <c r="D86" s="22">
        <f t="shared" si="10"/>
        <v>4.515997492382827E-4</v>
      </c>
      <c r="E86" s="86">
        <f t="shared" si="11"/>
        <v>54</v>
      </c>
      <c r="R86" s="86" t="s">
        <v>103</v>
      </c>
      <c r="S86" s="53">
        <f>'version consolidée hors UE'!E89</f>
        <v>146</v>
      </c>
      <c r="T86" s="62">
        <f t="shared" si="12"/>
        <v>0.61603375527426163</v>
      </c>
      <c r="U86" s="53">
        <f>'version consolidée hors UE'!L89</f>
        <v>2</v>
      </c>
      <c r="V86" s="62">
        <f t="shared" si="13"/>
        <v>8.4388185654008432E-3</v>
      </c>
      <c r="W86" s="53">
        <f>'version consolidée hors UE'!S89+'version consolidée hors UE'!AI89+'version consolidée hors UE'!AK89</f>
        <v>89</v>
      </c>
      <c r="X86" s="62">
        <f t="shared" si="14"/>
        <v>0.37552742616033757</v>
      </c>
      <c r="Y86" s="53">
        <f t="shared" si="15"/>
        <v>237</v>
      </c>
      <c r="Z86" s="62">
        <f t="shared" si="16"/>
        <v>1</v>
      </c>
      <c r="AB86" s="62">
        <f t="shared" si="17"/>
        <v>1.6162779112375597E-3</v>
      </c>
      <c r="AC86" s="62">
        <f t="shared" si="18"/>
        <v>7.7071290944123315E-4</v>
      </c>
      <c r="AD86" s="62">
        <f t="shared" si="19"/>
        <v>2.060781476121563E-4</v>
      </c>
    </row>
    <row r="87" spans="1:30">
      <c r="A87"/>
      <c r="B87" s="86" t="s">
        <v>237</v>
      </c>
      <c r="C87" s="131">
        <f>'version consolidée hors UE'!AN90</f>
        <v>0</v>
      </c>
      <c r="D87" s="22">
        <f t="shared" si="10"/>
        <v>0</v>
      </c>
      <c r="E87" s="86">
        <f t="shared" si="11"/>
        <v>168</v>
      </c>
      <c r="R87" s="86" t="s">
        <v>237</v>
      </c>
      <c r="S87" s="53">
        <f>'version consolidée hors UE'!E90</f>
        <v>0</v>
      </c>
      <c r="T87" s="62" t="e">
        <f t="shared" si="12"/>
        <v>#DIV/0!</v>
      </c>
      <c r="U87" s="53">
        <f>'version consolidée hors UE'!L90</f>
        <v>0</v>
      </c>
      <c r="V87" s="62" t="e">
        <f t="shared" si="13"/>
        <v>#DIV/0!</v>
      </c>
      <c r="W87" s="53">
        <f>'version consolidée hors UE'!S90+'version consolidée hors UE'!AI90+'version consolidée hors UE'!AK90</f>
        <v>0</v>
      </c>
      <c r="X87" s="62" t="e">
        <f t="shared" si="14"/>
        <v>#DIV/0!</v>
      </c>
      <c r="Y87" s="53">
        <f t="shared" si="15"/>
        <v>0</v>
      </c>
      <c r="Z87" s="62" t="e">
        <f t="shared" si="16"/>
        <v>#DIV/0!</v>
      </c>
      <c r="AB87" s="62">
        <f t="shared" si="17"/>
        <v>0</v>
      </c>
      <c r="AC87" s="62">
        <f t="shared" si="18"/>
        <v>0</v>
      </c>
      <c r="AD87" s="62">
        <f t="shared" si="19"/>
        <v>0</v>
      </c>
    </row>
    <row r="88" spans="1:30">
      <c r="A88"/>
      <c r="B88" s="86" t="s">
        <v>104</v>
      </c>
      <c r="C88" s="131">
        <f>'version consolidée hors UE'!AN91</f>
        <v>1292</v>
      </c>
      <c r="D88" s="22">
        <f t="shared" si="10"/>
        <v>2.4618855528095412E-3</v>
      </c>
      <c r="E88" s="86">
        <f t="shared" si="11"/>
        <v>24</v>
      </c>
      <c r="R88" s="86" t="s">
        <v>104</v>
      </c>
      <c r="S88" s="53">
        <f>'version consolidée hors UE'!E91</f>
        <v>953</v>
      </c>
      <c r="T88" s="62">
        <f t="shared" si="12"/>
        <v>0.7376160990712074</v>
      </c>
      <c r="U88" s="53">
        <f>'version consolidée hors UE'!L91</f>
        <v>4</v>
      </c>
      <c r="V88" s="62">
        <f t="shared" si="13"/>
        <v>3.0959752321981426E-3</v>
      </c>
      <c r="W88" s="53">
        <f>'version consolidée hors UE'!S91+'version consolidée hors UE'!AI91+'version consolidée hors UE'!AK91</f>
        <v>335</v>
      </c>
      <c r="X88" s="62">
        <f t="shared" si="14"/>
        <v>0.25928792569659442</v>
      </c>
      <c r="Y88" s="53">
        <f t="shared" si="15"/>
        <v>1292</v>
      </c>
      <c r="Z88" s="62">
        <f t="shared" si="16"/>
        <v>1</v>
      </c>
      <c r="AB88" s="62">
        <f t="shared" si="17"/>
        <v>1.0550088009653387E-2</v>
      </c>
      <c r="AC88" s="62">
        <f t="shared" si="18"/>
        <v>1.5414258188824663E-3</v>
      </c>
      <c r="AD88" s="62">
        <f t="shared" si="19"/>
        <v>7.7568740955137486E-4</v>
      </c>
    </row>
    <row r="89" spans="1:30">
      <c r="A89"/>
      <c r="B89" s="86" t="s">
        <v>202</v>
      </c>
      <c r="C89" s="131">
        <f>'version consolidée hors UE'!AN92</f>
        <v>5</v>
      </c>
      <c r="D89" s="22">
        <f t="shared" si="10"/>
        <v>9.5274208700059641E-6</v>
      </c>
      <c r="E89" s="86">
        <f t="shared" si="11"/>
        <v>140</v>
      </c>
      <c r="R89" s="86" t="s">
        <v>202</v>
      </c>
      <c r="S89" s="53">
        <f>'version consolidée hors UE'!E92</f>
        <v>4</v>
      </c>
      <c r="T89" s="62">
        <f t="shared" si="12"/>
        <v>0.8</v>
      </c>
      <c r="U89" s="53">
        <f>'version consolidée hors UE'!L92</f>
        <v>0</v>
      </c>
      <c r="V89" s="62">
        <f t="shared" si="13"/>
        <v>0</v>
      </c>
      <c r="W89" s="53">
        <f>'version consolidée hors UE'!S92+'version consolidée hors UE'!AI92+'version consolidée hors UE'!AK92</f>
        <v>1</v>
      </c>
      <c r="X89" s="62">
        <f t="shared" si="14"/>
        <v>0.2</v>
      </c>
      <c r="Y89" s="53">
        <f t="shared" si="15"/>
        <v>5</v>
      </c>
      <c r="Z89" s="62">
        <f t="shared" si="16"/>
        <v>1</v>
      </c>
      <c r="AB89" s="62">
        <f t="shared" si="17"/>
        <v>4.4281586609248208E-5</v>
      </c>
      <c r="AC89" s="62">
        <f t="shared" si="18"/>
        <v>0</v>
      </c>
      <c r="AD89" s="62">
        <f t="shared" si="19"/>
        <v>2.3154848046309697E-6</v>
      </c>
    </row>
    <row r="90" spans="1:30">
      <c r="A90"/>
      <c r="B90" s="86" t="s">
        <v>105</v>
      </c>
      <c r="C90" s="131">
        <f>'version consolidée hors UE'!AN93</f>
        <v>0</v>
      </c>
      <c r="D90" s="22">
        <f t="shared" si="10"/>
        <v>0</v>
      </c>
      <c r="E90" s="86">
        <f t="shared" si="11"/>
        <v>168</v>
      </c>
      <c r="R90" s="86" t="s">
        <v>105</v>
      </c>
      <c r="S90" s="53">
        <f>'version consolidée hors UE'!E93</f>
        <v>0</v>
      </c>
      <c r="T90" s="62" t="e">
        <f t="shared" si="12"/>
        <v>#DIV/0!</v>
      </c>
      <c r="U90" s="53">
        <f>'version consolidée hors UE'!L93</f>
        <v>0</v>
      </c>
      <c r="V90" s="62" t="e">
        <f t="shared" si="13"/>
        <v>#DIV/0!</v>
      </c>
      <c r="W90" s="53">
        <f>'version consolidée hors UE'!S93+'version consolidée hors UE'!AI93+'version consolidée hors UE'!AK93</f>
        <v>0</v>
      </c>
      <c r="X90" s="62" t="e">
        <f t="shared" si="14"/>
        <v>#DIV/0!</v>
      </c>
      <c r="Y90" s="53">
        <f t="shared" si="15"/>
        <v>0</v>
      </c>
      <c r="Z90" s="62" t="e">
        <f t="shared" si="16"/>
        <v>#DIV/0!</v>
      </c>
      <c r="AB90" s="62">
        <f t="shared" si="17"/>
        <v>0</v>
      </c>
      <c r="AC90" s="62">
        <f t="shared" si="18"/>
        <v>0</v>
      </c>
      <c r="AD90" s="62">
        <f t="shared" si="19"/>
        <v>0</v>
      </c>
    </row>
    <row r="91" spans="1:30">
      <c r="A91"/>
      <c r="B91" s="86" t="s">
        <v>106</v>
      </c>
      <c r="C91" s="131">
        <f>'version consolidée hors UE'!AN94</f>
        <v>62</v>
      </c>
      <c r="D91" s="22">
        <f t="shared" si="10"/>
        <v>1.1814001878807395E-4</v>
      </c>
      <c r="E91" s="86">
        <f t="shared" si="11"/>
        <v>87</v>
      </c>
      <c r="R91" s="86" t="s">
        <v>106</v>
      </c>
      <c r="S91" s="53">
        <f>'version consolidée hors UE'!E94</f>
        <v>36</v>
      </c>
      <c r="T91" s="62">
        <f t="shared" si="12"/>
        <v>0.58064516129032262</v>
      </c>
      <c r="U91" s="53">
        <f>'version consolidée hors UE'!L94</f>
        <v>0</v>
      </c>
      <c r="V91" s="62">
        <f t="shared" si="13"/>
        <v>0</v>
      </c>
      <c r="W91" s="53">
        <f>'version consolidée hors UE'!S94+'version consolidée hors UE'!AI94+'version consolidée hors UE'!AK94</f>
        <v>26</v>
      </c>
      <c r="X91" s="62">
        <f t="shared" si="14"/>
        <v>0.41935483870967744</v>
      </c>
      <c r="Y91" s="53">
        <f t="shared" si="15"/>
        <v>62</v>
      </c>
      <c r="Z91" s="62">
        <f t="shared" si="16"/>
        <v>1</v>
      </c>
      <c r="AB91" s="62">
        <f t="shared" si="17"/>
        <v>3.985342794832339E-4</v>
      </c>
      <c r="AC91" s="62">
        <f t="shared" si="18"/>
        <v>0</v>
      </c>
      <c r="AD91" s="62">
        <f t="shared" si="19"/>
        <v>6.0202604920405207E-5</v>
      </c>
    </row>
    <row r="92" spans="1:30">
      <c r="A92"/>
      <c r="B92" s="86" t="s">
        <v>107</v>
      </c>
      <c r="C92" s="131">
        <f>'version consolidée hors UE'!AN95</f>
        <v>899</v>
      </c>
      <c r="D92" s="22">
        <f t="shared" si="10"/>
        <v>1.7130302724270724E-3</v>
      </c>
      <c r="E92" s="86">
        <f t="shared" si="11"/>
        <v>31</v>
      </c>
      <c r="R92" s="86" t="s">
        <v>107</v>
      </c>
      <c r="S92" s="53">
        <f>'version consolidée hors UE'!E95</f>
        <v>454</v>
      </c>
      <c r="T92" s="62">
        <f t="shared" si="12"/>
        <v>0.50500556173526145</v>
      </c>
      <c r="U92" s="53">
        <f>'version consolidée hors UE'!L95</f>
        <v>3</v>
      </c>
      <c r="V92" s="62">
        <f t="shared" si="13"/>
        <v>3.3370411568409346E-3</v>
      </c>
      <c r="W92" s="53">
        <f>'version consolidée hors UE'!S95+'version consolidée hors UE'!AI95+'version consolidée hors UE'!AK95</f>
        <v>442</v>
      </c>
      <c r="X92" s="62">
        <f t="shared" si="14"/>
        <v>0.49165739710789769</v>
      </c>
      <c r="Y92" s="53">
        <f t="shared" si="15"/>
        <v>899</v>
      </c>
      <c r="Z92" s="62">
        <f t="shared" si="16"/>
        <v>1</v>
      </c>
      <c r="AB92" s="62">
        <f t="shared" si="17"/>
        <v>5.0259600801496719E-3</v>
      </c>
      <c r="AC92" s="62">
        <f t="shared" si="18"/>
        <v>1.1560693641618498E-3</v>
      </c>
      <c r="AD92" s="62">
        <f t="shared" si="19"/>
        <v>1.0234442836468886E-3</v>
      </c>
    </row>
    <row r="93" spans="1:30">
      <c r="A93"/>
      <c r="B93" s="86" t="s">
        <v>108</v>
      </c>
      <c r="C93" s="131">
        <f>'version consolidée hors UE'!AN96</f>
        <v>324</v>
      </c>
      <c r="D93" s="22">
        <f t="shared" si="10"/>
        <v>6.1737687237638651E-4</v>
      </c>
      <c r="E93" s="86">
        <f t="shared" si="11"/>
        <v>49</v>
      </c>
      <c r="R93" s="86" t="s">
        <v>108</v>
      </c>
      <c r="S93" s="53">
        <f>'version consolidée hors UE'!E96</f>
        <v>203</v>
      </c>
      <c r="T93" s="62">
        <f t="shared" si="12"/>
        <v>0.62654320987654322</v>
      </c>
      <c r="U93" s="53">
        <f>'version consolidée hors UE'!L96</f>
        <v>0</v>
      </c>
      <c r="V93" s="62">
        <f t="shared" si="13"/>
        <v>0</v>
      </c>
      <c r="W93" s="53">
        <f>'version consolidée hors UE'!S96+'version consolidée hors UE'!AI96+'version consolidée hors UE'!AK96</f>
        <v>121</v>
      </c>
      <c r="X93" s="62">
        <f t="shared" si="14"/>
        <v>0.37345679012345678</v>
      </c>
      <c r="Y93" s="53">
        <f t="shared" si="15"/>
        <v>324</v>
      </c>
      <c r="Z93" s="62">
        <f t="shared" si="16"/>
        <v>1</v>
      </c>
      <c r="AB93" s="62">
        <f t="shared" si="17"/>
        <v>2.2472905204193468E-3</v>
      </c>
      <c r="AC93" s="62">
        <f t="shared" si="18"/>
        <v>0</v>
      </c>
      <c r="AD93" s="62">
        <f t="shared" si="19"/>
        <v>2.8017366136034734E-4</v>
      </c>
    </row>
    <row r="94" spans="1:30">
      <c r="A94"/>
      <c r="B94" s="86" t="s">
        <v>203</v>
      </c>
      <c r="C94" s="131">
        <f>'version consolidée hors UE'!AN97</f>
        <v>1</v>
      </c>
      <c r="D94" s="22">
        <f t="shared" si="10"/>
        <v>1.9054841740011928E-6</v>
      </c>
      <c r="E94" s="86">
        <f t="shared" si="11"/>
        <v>161</v>
      </c>
      <c r="R94" s="86" t="s">
        <v>203</v>
      </c>
      <c r="S94" s="53">
        <f>'version consolidée hors UE'!E97</f>
        <v>0</v>
      </c>
      <c r="T94" s="62">
        <f t="shared" si="12"/>
        <v>0</v>
      </c>
      <c r="U94" s="53">
        <f>'version consolidée hors UE'!L97</f>
        <v>0</v>
      </c>
      <c r="V94" s="62">
        <f t="shared" si="13"/>
        <v>0</v>
      </c>
      <c r="W94" s="53">
        <f>'version consolidée hors UE'!S97+'version consolidée hors UE'!AI97+'version consolidée hors UE'!AK97</f>
        <v>1</v>
      </c>
      <c r="X94" s="62">
        <f t="shared" si="14"/>
        <v>1</v>
      </c>
      <c r="Y94" s="53">
        <f t="shared" si="15"/>
        <v>1</v>
      </c>
      <c r="Z94" s="62">
        <f t="shared" si="16"/>
        <v>1</v>
      </c>
      <c r="AB94" s="62">
        <f t="shared" si="17"/>
        <v>0</v>
      </c>
      <c r="AC94" s="62">
        <f t="shared" si="18"/>
        <v>0</v>
      </c>
      <c r="AD94" s="62">
        <f t="shared" si="19"/>
        <v>2.3154848046309697E-6</v>
      </c>
    </row>
    <row r="95" spans="1:30">
      <c r="A95"/>
      <c r="B95" s="86" t="s">
        <v>109</v>
      </c>
      <c r="C95" s="131">
        <f>'version consolidée hors UE'!AN98</f>
        <v>70</v>
      </c>
      <c r="D95" s="22">
        <f t="shared" si="10"/>
        <v>1.3338389218008349E-4</v>
      </c>
      <c r="E95" s="86">
        <f t="shared" si="11"/>
        <v>84</v>
      </c>
      <c r="R95" s="86" t="s">
        <v>109</v>
      </c>
      <c r="S95" s="53">
        <f>'version consolidée hors UE'!E98</f>
        <v>66</v>
      </c>
      <c r="T95" s="62">
        <f t="shared" si="12"/>
        <v>0.94285714285714284</v>
      </c>
      <c r="U95" s="53">
        <f>'version consolidée hors UE'!L98</f>
        <v>0</v>
      </c>
      <c r="V95" s="62">
        <f t="shared" si="13"/>
        <v>0</v>
      </c>
      <c r="W95" s="53">
        <f>'version consolidée hors UE'!S98+'version consolidée hors UE'!AI98+'version consolidée hors UE'!AK98</f>
        <v>4</v>
      </c>
      <c r="X95" s="62">
        <f t="shared" si="14"/>
        <v>5.7142857142857141E-2</v>
      </c>
      <c r="Y95" s="53">
        <f t="shared" si="15"/>
        <v>70</v>
      </c>
      <c r="Z95" s="62">
        <f t="shared" si="16"/>
        <v>1</v>
      </c>
      <c r="AB95" s="62">
        <f t="shared" si="17"/>
        <v>7.306461790525955E-4</v>
      </c>
      <c r="AC95" s="62">
        <f t="shared" si="18"/>
        <v>0</v>
      </c>
      <c r="AD95" s="62">
        <f t="shared" si="19"/>
        <v>9.2619392185238788E-6</v>
      </c>
    </row>
    <row r="96" spans="1:30">
      <c r="A96"/>
      <c r="B96" s="86" t="s">
        <v>33</v>
      </c>
      <c r="C96" s="131">
        <f>'version consolidée hors UE'!AN99</f>
        <v>23994</v>
      </c>
      <c r="D96" s="22">
        <f t="shared" si="10"/>
        <v>4.5720187270984619E-2</v>
      </c>
      <c r="E96" s="86">
        <f t="shared" si="11"/>
        <v>6</v>
      </c>
      <c r="R96" s="86" t="s">
        <v>33</v>
      </c>
      <c r="S96" s="53">
        <f>'version consolidée hors UE'!E99</f>
        <v>121</v>
      </c>
      <c r="T96" s="62">
        <f t="shared" si="12"/>
        <v>5.0429273985162955E-3</v>
      </c>
      <c r="U96" s="53">
        <f>'version consolidée hors UE'!L99</f>
        <v>65</v>
      </c>
      <c r="V96" s="62">
        <f t="shared" si="13"/>
        <v>2.7090105859798284E-3</v>
      </c>
      <c r="W96" s="53">
        <f>'version consolidée hors UE'!S99+'version consolidée hors UE'!AI99+'version consolidée hors UE'!AK99</f>
        <v>23808</v>
      </c>
      <c r="X96" s="62">
        <f t="shared" si="14"/>
        <v>0.99224806201550386</v>
      </c>
      <c r="Y96" s="53">
        <f t="shared" si="15"/>
        <v>23994</v>
      </c>
      <c r="Z96" s="62">
        <f t="shared" si="16"/>
        <v>1</v>
      </c>
      <c r="AB96" s="62">
        <f t="shared" si="17"/>
        <v>1.3395179949297583E-3</v>
      </c>
      <c r="AC96" s="62">
        <f t="shared" si="18"/>
        <v>2.5048169556840076E-2</v>
      </c>
      <c r="AD96" s="62">
        <f t="shared" si="19"/>
        <v>5.5127062228654128E-2</v>
      </c>
    </row>
    <row r="97" spans="1:30">
      <c r="A97"/>
      <c r="B97" s="86" t="s">
        <v>34</v>
      </c>
      <c r="C97" s="131">
        <f>'version consolidée hors UE'!AN100</f>
        <v>103582</v>
      </c>
      <c r="D97" s="22">
        <f t="shared" si="10"/>
        <v>0.19737386171139157</v>
      </c>
      <c r="E97" s="86">
        <f t="shared" si="11"/>
        <v>2</v>
      </c>
      <c r="R97" s="86" t="s">
        <v>34</v>
      </c>
      <c r="S97" s="53">
        <f>'version consolidée hors UE'!E100</f>
        <v>16015</v>
      </c>
      <c r="T97" s="62">
        <f t="shared" si="12"/>
        <v>0.15461180513988917</v>
      </c>
      <c r="U97" s="53">
        <f>'version consolidée hors UE'!L100</f>
        <v>754</v>
      </c>
      <c r="V97" s="62">
        <f t="shared" si="13"/>
        <v>7.2792570137668704E-3</v>
      </c>
      <c r="W97" s="53">
        <f>'version consolidée hors UE'!S100+'version consolidée hors UE'!AI100+'version consolidée hors UE'!AK100</f>
        <v>86813</v>
      </c>
      <c r="X97" s="62">
        <f t="shared" si="14"/>
        <v>0.83810893784634399</v>
      </c>
      <c r="Y97" s="53">
        <f t="shared" si="15"/>
        <v>103582</v>
      </c>
      <c r="Z97" s="62">
        <f t="shared" si="16"/>
        <v>1</v>
      </c>
      <c r="AB97" s="62">
        <f t="shared" si="17"/>
        <v>0.17729240238677751</v>
      </c>
      <c r="AC97" s="62">
        <f t="shared" si="18"/>
        <v>0.2905587668593449</v>
      </c>
      <c r="AD97" s="62">
        <f t="shared" si="19"/>
        <v>0.20101418234442836</v>
      </c>
    </row>
    <row r="98" spans="1:30">
      <c r="A98"/>
      <c r="B98" s="132" t="s">
        <v>304</v>
      </c>
      <c r="C98" s="131">
        <f>'version consolidée hors UE'!AN101</f>
        <v>0</v>
      </c>
      <c r="D98" s="22">
        <f t="shared" si="10"/>
        <v>0</v>
      </c>
      <c r="E98" s="86">
        <f t="shared" si="11"/>
        <v>168</v>
      </c>
      <c r="R98" s="132" t="s">
        <v>304</v>
      </c>
      <c r="S98" s="53">
        <f>'version consolidée hors UE'!E101</f>
        <v>0</v>
      </c>
      <c r="T98" s="62" t="e">
        <f t="shared" si="12"/>
        <v>#DIV/0!</v>
      </c>
      <c r="U98" s="53">
        <f>'version consolidée hors UE'!L101</f>
        <v>0</v>
      </c>
      <c r="V98" s="62" t="e">
        <f t="shared" si="13"/>
        <v>#DIV/0!</v>
      </c>
      <c r="W98" s="53">
        <f>'version consolidée hors UE'!S101+'version consolidée hors UE'!AI101+'version consolidée hors UE'!AK101</f>
        <v>0</v>
      </c>
      <c r="X98" s="62" t="e">
        <f t="shared" si="14"/>
        <v>#DIV/0!</v>
      </c>
      <c r="Y98" s="53">
        <f t="shared" si="15"/>
        <v>0</v>
      </c>
      <c r="Z98" s="62" t="e">
        <f t="shared" si="16"/>
        <v>#DIV/0!</v>
      </c>
      <c r="AB98" s="62">
        <f t="shared" si="17"/>
        <v>0</v>
      </c>
      <c r="AC98" s="62">
        <f t="shared" si="18"/>
        <v>0</v>
      </c>
      <c r="AD98" s="62">
        <f t="shared" si="19"/>
        <v>0</v>
      </c>
    </row>
    <row r="99" spans="1:30">
      <c r="A99"/>
      <c r="B99" s="86" t="s">
        <v>152</v>
      </c>
      <c r="C99" s="131">
        <f>'version consolidée hors UE'!AN102</f>
        <v>3120</v>
      </c>
      <c r="D99" s="22">
        <f t="shared" si="10"/>
        <v>5.945110622883722E-3</v>
      </c>
      <c r="E99" s="86">
        <f t="shared" si="11"/>
        <v>13</v>
      </c>
      <c r="R99" s="86" t="s">
        <v>152</v>
      </c>
      <c r="S99" s="53">
        <f>'version consolidée hors UE'!E102</f>
        <v>2702</v>
      </c>
      <c r="T99" s="62">
        <f t="shared" si="12"/>
        <v>0.86602564102564106</v>
      </c>
      <c r="U99" s="53">
        <f>'version consolidée hors UE'!L102</f>
        <v>19</v>
      </c>
      <c r="V99" s="62">
        <f t="shared" si="13"/>
        <v>6.0897435897435898E-3</v>
      </c>
      <c r="W99" s="53">
        <f>'version consolidée hors UE'!S102+'version consolidée hors UE'!AI102+'version consolidée hors UE'!AK102</f>
        <v>399</v>
      </c>
      <c r="X99" s="62">
        <f t="shared" si="14"/>
        <v>0.12788461538461537</v>
      </c>
      <c r="Y99" s="53">
        <f t="shared" si="15"/>
        <v>3120</v>
      </c>
      <c r="Z99" s="62">
        <f t="shared" si="16"/>
        <v>1</v>
      </c>
      <c r="AB99" s="62">
        <f t="shared" si="17"/>
        <v>2.9912211754547165E-2</v>
      </c>
      <c r="AC99" s="62">
        <f t="shared" si="18"/>
        <v>7.3217726396917152E-3</v>
      </c>
      <c r="AD99" s="62">
        <f t="shared" si="19"/>
        <v>9.2387843704775686E-4</v>
      </c>
    </row>
    <row r="100" spans="1:30">
      <c r="A100"/>
      <c r="B100" s="86" t="s">
        <v>110</v>
      </c>
      <c r="C100" s="131">
        <f>'version consolidée hors UE'!AN103</f>
        <v>93</v>
      </c>
      <c r="D100" s="22">
        <f t="shared" si="10"/>
        <v>1.7721002818211093E-4</v>
      </c>
      <c r="E100" s="86">
        <f t="shared" si="11"/>
        <v>72</v>
      </c>
      <c r="R100" s="86" t="s">
        <v>110</v>
      </c>
      <c r="S100" s="53">
        <f>'version consolidée hors UE'!E103</f>
        <v>15</v>
      </c>
      <c r="T100" s="62">
        <f t="shared" si="12"/>
        <v>0.16129032258064516</v>
      </c>
      <c r="U100" s="53">
        <f>'version consolidée hors UE'!L103</f>
        <v>2</v>
      </c>
      <c r="V100" s="62">
        <f t="shared" si="13"/>
        <v>2.1505376344086023E-2</v>
      </c>
      <c r="W100" s="53">
        <f>'version consolidée hors UE'!S103+'version consolidée hors UE'!AI103+'version consolidée hors UE'!AK103</f>
        <v>76</v>
      </c>
      <c r="X100" s="62">
        <f t="shared" si="14"/>
        <v>0.81720430107526887</v>
      </c>
      <c r="Y100" s="53">
        <f t="shared" si="15"/>
        <v>93</v>
      </c>
      <c r="Z100" s="62">
        <f t="shared" si="16"/>
        <v>1</v>
      </c>
      <c r="AB100" s="62">
        <f t="shared" si="17"/>
        <v>1.6605594978468078E-4</v>
      </c>
      <c r="AC100" s="62">
        <f t="shared" si="18"/>
        <v>7.7071290944123315E-4</v>
      </c>
      <c r="AD100" s="62">
        <f t="shared" si="19"/>
        <v>1.7597684515195368E-4</v>
      </c>
    </row>
    <row r="101" spans="1:30">
      <c r="A101"/>
      <c r="B101" s="86" t="s">
        <v>111</v>
      </c>
      <c r="C101" s="131">
        <f>'version consolidée hors UE'!AN104</f>
        <v>1695</v>
      </c>
      <c r="D101" s="22">
        <f t="shared" si="10"/>
        <v>3.2297956749320219E-3</v>
      </c>
      <c r="E101" s="86">
        <f t="shared" si="11"/>
        <v>22</v>
      </c>
      <c r="R101" s="86" t="s">
        <v>111</v>
      </c>
      <c r="S101" s="53">
        <f>'version consolidée hors UE'!E104</f>
        <v>1267</v>
      </c>
      <c r="T101" s="62">
        <f t="shared" si="12"/>
        <v>0.74749262536873151</v>
      </c>
      <c r="U101" s="53">
        <f>'version consolidée hors UE'!L104</f>
        <v>5</v>
      </c>
      <c r="V101" s="62">
        <f t="shared" si="13"/>
        <v>2.9498525073746312E-3</v>
      </c>
      <c r="W101" s="53">
        <f>'version consolidée hors UE'!S104+'version consolidée hors UE'!AI104+'version consolidée hors UE'!AK104</f>
        <v>423</v>
      </c>
      <c r="X101" s="62">
        <f t="shared" si="14"/>
        <v>0.24955752212389382</v>
      </c>
      <c r="Y101" s="53">
        <f t="shared" si="15"/>
        <v>1695</v>
      </c>
      <c r="Z101" s="62">
        <f t="shared" si="16"/>
        <v>1</v>
      </c>
      <c r="AB101" s="62">
        <f t="shared" si="17"/>
        <v>1.402619255847937E-2</v>
      </c>
      <c r="AC101" s="62">
        <f t="shared" si="18"/>
        <v>1.9267822736030828E-3</v>
      </c>
      <c r="AD101" s="62">
        <f t="shared" si="19"/>
        <v>9.794500723589001E-4</v>
      </c>
    </row>
    <row r="102" spans="1:30">
      <c r="A102"/>
      <c r="B102" s="132" t="s">
        <v>204</v>
      </c>
      <c r="C102" s="131">
        <f>'version consolidée hors UE'!AN105</f>
        <v>1</v>
      </c>
      <c r="D102" s="22">
        <f t="shared" si="10"/>
        <v>1.9054841740011928E-6</v>
      </c>
      <c r="E102" s="86">
        <f t="shared" si="11"/>
        <v>161</v>
      </c>
      <c r="R102" s="132" t="s">
        <v>204</v>
      </c>
      <c r="S102" s="53">
        <f>'version consolidée hors UE'!E105</f>
        <v>1</v>
      </c>
      <c r="T102" s="62">
        <f t="shared" si="12"/>
        <v>1</v>
      </c>
      <c r="U102" s="53">
        <f>'version consolidée hors UE'!L105</f>
        <v>0</v>
      </c>
      <c r="V102" s="62">
        <f t="shared" si="13"/>
        <v>0</v>
      </c>
      <c r="W102" s="53">
        <f>'version consolidée hors UE'!S105+'version consolidée hors UE'!AI105+'version consolidée hors UE'!AK105</f>
        <v>0</v>
      </c>
      <c r="X102" s="62">
        <f t="shared" si="14"/>
        <v>0</v>
      </c>
      <c r="Y102" s="53">
        <f t="shared" si="15"/>
        <v>1</v>
      </c>
      <c r="Z102" s="62">
        <f t="shared" si="16"/>
        <v>1</v>
      </c>
      <c r="AB102" s="62">
        <f t="shared" si="17"/>
        <v>1.1070396652312052E-5</v>
      </c>
      <c r="AC102" s="62">
        <f t="shared" si="18"/>
        <v>0</v>
      </c>
      <c r="AD102" s="62">
        <f t="shared" si="19"/>
        <v>0</v>
      </c>
    </row>
    <row r="103" spans="1:30">
      <c r="A103"/>
      <c r="B103" s="86" t="s">
        <v>112</v>
      </c>
      <c r="C103" s="131">
        <f>'version consolidée hors UE'!AN106</f>
        <v>9</v>
      </c>
      <c r="D103" s="22">
        <f t="shared" si="10"/>
        <v>1.7149357566010737E-5</v>
      </c>
      <c r="E103" s="86">
        <f t="shared" si="11"/>
        <v>128</v>
      </c>
      <c r="R103" s="86" t="s">
        <v>112</v>
      </c>
      <c r="S103" s="53">
        <f>'version consolidée hors UE'!E106</f>
        <v>7</v>
      </c>
      <c r="T103" s="62">
        <f t="shared" si="12"/>
        <v>0.77777777777777779</v>
      </c>
      <c r="U103" s="53">
        <f>'version consolidée hors UE'!L106</f>
        <v>0</v>
      </c>
      <c r="V103" s="62">
        <f t="shared" si="13"/>
        <v>0</v>
      </c>
      <c r="W103" s="53">
        <f>'version consolidée hors UE'!S106+'version consolidée hors UE'!AI106+'version consolidée hors UE'!AK106</f>
        <v>2</v>
      </c>
      <c r="X103" s="62">
        <f t="shared" si="14"/>
        <v>0.22222222222222221</v>
      </c>
      <c r="Y103" s="53">
        <f t="shared" si="15"/>
        <v>9</v>
      </c>
      <c r="Z103" s="62">
        <f t="shared" si="16"/>
        <v>1</v>
      </c>
      <c r="AB103" s="62">
        <f t="shared" si="17"/>
        <v>7.7492776566184373E-5</v>
      </c>
      <c r="AC103" s="62">
        <f t="shared" si="18"/>
        <v>0</v>
      </c>
      <c r="AD103" s="62">
        <f t="shared" si="19"/>
        <v>4.6309696092619394E-6</v>
      </c>
    </row>
    <row r="104" spans="1:30">
      <c r="A104"/>
      <c r="B104" s="86" t="s">
        <v>113</v>
      </c>
      <c r="C104" s="131">
        <f>'version consolidée hors UE'!AN107</f>
        <v>30</v>
      </c>
      <c r="D104" s="22">
        <f t="shared" si="10"/>
        <v>5.7164525220035788E-5</v>
      </c>
      <c r="E104" s="86">
        <f t="shared" si="11"/>
        <v>104</v>
      </c>
      <c r="R104" s="86" t="s">
        <v>113</v>
      </c>
      <c r="S104" s="53">
        <f>'version consolidée hors UE'!E107</f>
        <v>29</v>
      </c>
      <c r="T104" s="62">
        <f t="shared" si="12"/>
        <v>0.96666666666666667</v>
      </c>
      <c r="U104" s="53">
        <f>'version consolidée hors UE'!L107</f>
        <v>0</v>
      </c>
      <c r="V104" s="62">
        <f t="shared" si="13"/>
        <v>0</v>
      </c>
      <c r="W104" s="53">
        <f>'version consolidée hors UE'!S107+'version consolidée hors UE'!AI107+'version consolidée hors UE'!AK107</f>
        <v>1</v>
      </c>
      <c r="X104" s="62">
        <f t="shared" si="14"/>
        <v>3.3333333333333333E-2</v>
      </c>
      <c r="Y104" s="53">
        <f t="shared" si="15"/>
        <v>30</v>
      </c>
      <c r="Z104" s="62">
        <f t="shared" si="16"/>
        <v>1</v>
      </c>
      <c r="AB104" s="62">
        <f t="shared" si="17"/>
        <v>3.2104150291704952E-4</v>
      </c>
      <c r="AC104" s="62">
        <f t="shared" si="18"/>
        <v>0</v>
      </c>
      <c r="AD104" s="62">
        <f t="shared" si="19"/>
        <v>2.3154848046309697E-6</v>
      </c>
    </row>
    <row r="105" spans="1:30">
      <c r="A105"/>
      <c r="B105" s="86" t="s">
        <v>114</v>
      </c>
      <c r="C105" s="131">
        <f>'version consolidée hors UE'!AN108</f>
        <v>28</v>
      </c>
      <c r="D105" s="22">
        <f t="shared" si="10"/>
        <v>5.3353556872033399E-5</v>
      </c>
      <c r="E105" s="86">
        <f t="shared" si="11"/>
        <v>106</v>
      </c>
      <c r="R105" s="86" t="s">
        <v>114</v>
      </c>
      <c r="S105" s="53">
        <f>'version consolidée hors UE'!E108</f>
        <v>27</v>
      </c>
      <c r="T105" s="62">
        <f t="shared" si="12"/>
        <v>0.9642857142857143</v>
      </c>
      <c r="U105" s="53">
        <f>'version consolidée hors UE'!L108</f>
        <v>0</v>
      </c>
      <c r="V105" s="62">
        <f t="shared" si="13"/>
        <v>0</v>
      </c>
      <c r="W105" s="53">
        <f>'version consolidée hors UE'!S108+'version consolidée hors UE'!AI108+'version consolidée hors UE'!AK108</f>
        <v>1</v>
      </c>
      <c r="X105" s="62">
        <f t="shared" si="14"/>
        <v>3.5714285714285712E-2</v>
      </c>
      <c r="Y105" s="53">
        <f t="shared" si="15"/>
        <v>28</v>
      </c>
      <c r="Z105" s="62">
        <f t="shared" si="16"/>
        <v>1</v>
      </c>
      <c r="AB105" s="62">
        <f t="shared" si="17"/>
        <v>2.9890070961242541E-4</v>
      </c>
      <c r="AC105" s="62">
        <f t="shared" si="18"/>
        <v>0</v>
      </c>
      <c r="AD105" s="62">
        <f t="shared" si="19"/>
        <v>2.3154848046309697E-6</v>
      </c>
    </row>
    <row r="106" spans="1:30">
      <c r="A106"/>
      <c r="B106" s="86" t="s">
        <v>115</v>
      </c>
      <c r="C106" s="131">
        <f>'version consolidée hors UE'!AN109</f>
        <v>77</v>
      </c>
      <c r="D106" s="22">
        <f t="shared" si="10"/>
        <v>1.4672228139809185E-4</v>
      </c>
      <c r="E106" s="86">
        <f t="shared" si="11"/>
        <v>80</v>
      </c>
      <c r="R106" s="86" t="s">
        <v>115</v>
      </c>
      <c r="S106" s="53">
        <f>'version consolidée hors UE'!E109</f>
        <v>74</v>
      </c>
      <c r="T106" s="62">
        <f t="shared" si="12"/>
        <v>0.96103896103896103</v>
      </c>
      <c r="U106" s="53">
        <f>'version consolidée hors UE'!L109</f>
        <v>0</v>
      </c>
      <c r="V106" s="62">
        <f t="shared" si="13"/>
        <v>0</v>
      </c>
      <c r="W106" s="53">
        <f>'version consolidée hors UE'!S109+'version consolidée hors UE'!AI109+'version consolidée hors UE'!AK109</f>
        <v>3</v>
      </c>
      <c r="X106" s="62">
        <f t="shared" si="14"/>
        <v>3.896103896103896E-2</v>
      </c>
      <c r="Y106" s="53">
        <f t="shared" si="15"/>
        <v>77</v>
      </c>
      <c r="Z106" s="62">
        <f t="shared" si="16"/>
        <v>1</v>
      </c>
      <c r="AB106" s="62">
        <f t="shared" si="17"/>
        <v>8.1920935227109185E-4</v>
      </c>
      <c r="AC106" s="62">
        <f t="shared" si="18"/>
        <v>0</v>
      </c>
      <c r="AD106" s="62">
        <f t="shared" si="19"/>
        <v>6.9464544138929091E-6</v>
      </c>
    </row>
    <row r="107" spans="1:30">
      <c r="A107"/>
      <c r="B107" s="86" t="s">
        <v>116</v>
      </c>
      <c r="C107" s="131">
        <f>'version consolidée hors UE'!AN110</f>
        <v>39</v>
      </c>
      <c r="D107" s="22">
        <f t="shared" si="10"/>
        <v>7.4313882786046525E-5</v>
      </c>
      <c r="E107" s="86">
        <f t="shared" si="11"/>
        <v>100</v>
      </c>
      <c r="R107" s="86" t="s">
        <v>116</v>
      </c>
      <c r="S107" s="53">
        <f>'version consolidée hors UE'!E110</f>
        <v>9</v>
      </c>
      <c r="T107" s="62">
        <f t="shared" si="12"/>
        <v>0.23076923076923078</v>
      </c>
      <c r="U107" s="53">
        <f>'version consolidée hors UE'!L110</f>
        <v>0</v>
      </c>
      <c r="V107" s="62">
        <f t="shared" si="13"/>
        <v>0</v>
      </c>
      <c r="W107" s="53">
        <f>'version consolidée hors UE'!S110+'version consolidée hors UE'!AI110+'version consolidée hors UE'!AK110</f>
        <v>30</v>
      </c>
      <c r="X107" s="62">
        <f t="shared" si="14"/>
        <v>0.76923076923076927</v>
      </c>
      <c r="Y107" s="53">
        <f t="shared" si="15"/>
        <v>39</v>
      </c>
      <c r="Z107" s="62">
        <f t="shared" si="16"/>
        <v>1</v>
      </c>
      <c r="AB107" s="62">
        <f t="shared" si="17"/>
        <v>9.9633569870808474E-5</v>
      </c>
      <c r="AC107" s="62">
        <f t="shared" si="18"/>
        <v>0</v>
      </c>
      <c r="AD107" s="62">
        <f t="shared" si="19"/>
        <v>6.946454413892909E-5</v>
      </c>
    </row>
    <row r="108" spans="1:30">
      <c r="A108"/>
      <c r="B108" s="86" t="s">
        <v>117</v>
      </c>
      <c r="C108" s="131">
        <f>'version consolidée hors UE'!AN111</f>
        <v>50</v>
      </c>
      <c r="D108" s="22">
        <f t="shared" si="10"/>
        <v>9.5274208700059644E-5</v>
      </c>
      <c r="E108" s="86">
        <f t="shared" si="11"/>
        <v>92</v>
      </c>
      <c r="R108" s="86" t="s">
        <v>117</v>
      </c>
      <c r="S108" s="53">
        <f>'version consolidée hors UE'!E111</f>
        <v>42</v>
      </c>
      <c r="T108" s="62">
        <f t="shared" si="12"/>
        <v>0.84</v>
      </c>
      <c r="U108" s="53">
        <f>'version consolidée hors UE'!L111</f>
        <v>0</v>
      </c>
      <c r="V108" s="62">
        <f t="shared" si="13"/>
        <v>0</v>
      </c>
      <c r="W108" s="53">
        <f>'version consolidée hors UE'!S111+'version consolidée hors UE'!AI111+'version consolidée hors UE'!AK111</f>
        <v>8</v>
      </c>
      <c r="X108" s="62">
        <f t="shared" si="14"/>
        <v>0.16</v>
      </c>
      <c r="Y108" s="53">
        <f t="shared" si="15"/>
        <v>50</v>
      </c>
      <c r="Z108" s="62">
        <f t="shared" si="16"/>
        <v>1</v>
      </c>
      <c r="AB108" s="62">
        <f t="shared" si="17"/>
        <v>4.6495665939710618E-4</v>
      </c>
      <c r="AC108" s="62">
        <f t="shared" si="18"/>
        <v>0</v>
      </c>
      <c r="AD108" s="62">
        <f t="shared" si="19"/>
        <v>1.8523878437047758E-5</v>
      </c>
    </row>
    <row r="109" spans="1:30">
      <c r="A109"/>
      <c r="B109" s="132" t="s">
        <v>305</v>
      </c>
      <c r="C109" s="131">
        <f>'version consolidée hors UE'!AN112</f>
        <v>0</v>
      </c>
      <c r="D109" s="22">
        <f t="shared" si="10"/>
        <v>0</v>
      </c>
      <c r="E109" s="86">
        <f t="shared" si="11"/>
        <v>168</v>
      </c>
      <c r="R109" s="132" t="s">
        <v>305</v>
      </c>
      <c r="S109" s="53">
        <f>'version consolidée hors UE'!E112</f>
        <v>0</v>
      </c>
      <c r="T109" s="62" t="e">
        <f t="shared" si="12"/>
        <v>#DIV/0!</v>
      </c>
      <c r="U109" s="53">
        <f>'version consolidée hors UE'!L112</f>
        <v>0</v>
      </c>
      <c r="V109" s="62" t="e">
        <f t="shared" si="13"/>
        <v>#DIV/0!</v>
      </c>
      <c r="W109" s="53">
        <f>'version consolidée hors UE'!S112+'version consolidée hors UE'!AI112+'version consolidée hors UE'!AK112</f>
        <v>0</v>
      </c>
      <c r="X109" s="62" t="e">
        <f t="shared" si="14"/>
        <v>#DIV/0!</v>
      </c>
      <c r="Y109" s="53">
        <f t="shared" si="15"/>
        <v>0</v>
      </c>
      <c r="Z109" s="62" t="e">
        <f t="shared" si="16"/>
        <v>#DIV/0!</v>
      </c>
      <c r="AB109" s="62">
        <f t="shared" si="17"/>
        <v>0</v>
      </c>
      <c r="AC109" s="62">
        <f t="shared" si="18"/>
        <v>0</v>
      </c>
      <c r="AD109" s="62">
        <f t="shared" si="19"/>
        <v>0</v>
      </c>
    </row>
    <row r="110" spans="1:30">
      <c r="A110"/>
      <c r="B110" s="86" t="s">
        <v>118</v>
      </c>
      <c r="C110" s="131">
        <f>'version consolidée hors UE'!AN113</f>
        <v>190</v>
      </c>
      <c r="D110" s="22">
        <f t="shared" si="10"/>
        <v>3.6204199306022662E-4</v>
      </c>
      <c r="E110" s="86">
        <f t="shared" si="11"/>
        <v>57</v>
      </c>
      <c r="R110" s="86" t="s">
        <v>118</v>
      </c>
      <c r="S110" s="53">
        <f>'version consolidée hors UE'!E113</f>
        <v>180</v>
      </c>
      <c r="T110" s="62">
        <f t="shared" si="12"/>
        <v>0.94736842105263153</v>
      </c>
      <c r="U110" s="53">
        <f>'version consolidée hors UE'!L113</f>
        <v>0</v>
      </c>
      <c r="V110" s="62">
        <f t="shared" si="13"/>
        <v>0</v>
      </c>
      <c r="W110" s="53">
        <f>'version consolidée hors UE'!S113+'version consolidée hors UE'!AI113+'version consolidée hors UE'!AK113</f>
        <v>10</v>
      </c>
      <c r="X110" s="62">
        <f t="shared" si="14"/>
        <v>5.2631578947368418E-2</v>
      </c>
      <c r="Y110" s="53">
        <f t="shared" si="15"/>
        <v>190</v>
      </c>
      <c r="Z110" s="62">
        <f t="shared" si="16"/>
        <v>1</v>
      </c>
      <c r="AB110" s="62">
        <f t="shared" si="17"/>
        <v>1.9926713974161695E-3</v>
      </c>
      <c r="AC110" s="62">
        <f t="shared" si="18"/>
        <v>0</v>
      </c>
      <c r="AD110" s="62">
        <f t="shared" si="19"/>
        <v>2.3154848046309695E-5</v>
      </c>
    </row>
    <row r="111" spans="1:30">
      <c r="A111"/>
      <c r="B111" s="86" t="s">
        <v>119</v>
      </c>
      <c r="C111" s="131">
        <f>'version consolidée hors UE'!AN114</f>
        <v>72</v>
      </c>
      <c r="D111" s="22">
        <f t="shared" si="10"/>
        <v>1.371948605280859E-4</v>
      </c>
      <c r="E111" s="86">
        <f t="shared" si="11"/>
        <v>83</v>
      </c>
      <c r="R111" s="86" t="s">
        <v>119</v>
      </c>
      <c r="S111" s="53">
        <f>'version consolidée hors UE'!E114</f>
        <v>37</v>
      </c>
      <c r="T111" s="62">
        <f t="shared" si="12"/>
        <v>0.51388888888888884</v>
      </c>
      <c r="U111" s="53">
        <f>'version consolidée hors UE'!L114</f>
        <v>0</v>
      </c>
      <c r="V111" s="62">
        <f t="shared" si="13"/>
        <v>0</v>
      </c>
      <c r="W111" s="53">
        <f>'version consolidée hors UE'!S114+'version consolidée hors UE'!AI114+'version consolidée hors UE'!AK114</f>
        <v>35</v>
      </c>
      <c r="X111" s="62">
        <f t="shared" si="14"/>
        <v>0.4861111111111111</v>
      </c>
      <c r="Y111" s="53">
        <f t="shared" si="15"/>
        <v>72</v>
      </c>
      <c r="Z111" s="62">
        <f t="shared" si="16"/>
        <v>1</v>
      </c>
      <c r="AB111" s="62">
        <f t="shared" si="17"/>
        <v>4.0960467613554593E-4</v>
      </c>
      <c r="AC111" s="62">
        <f t="shared" si="18"/>
        <v>0</v>
      </c>
      <c r="AD111" s="62">
        <f t="shared" si="19"/>
        <v>8.1041968162083936E-5</v>
      </c>
    </row>
    <row r="112" spans="1:30">
      <c r="A112"/>
      <c r="B112" s="86" t="s">
        <v>120</v>
      </c>
      <c r="C112" s="131">
        <f>'version consolidée hors UE'!AN115</f>
        <v>84</v>
      </c>
      <c r="D112" s="22">
        <f t="shared" si="10"/>
        <v>1.600606706161002E-4</v>
      </c>
      <c r="E112" s="86">
        <f t="shared" si="11"/>
        <v>76</v>
      </c>
      <c r="R112" s="86" t="s">
        <v>120</v>
      </c>
      <c r="S112" s="53">
        <f>'version consolidée hors UE'!E115</f>
        <v>18</v>
      </c>
      <c r="T112" s="62">
        <f t="shared" si="12"/>
        <v>0.21428571428571427</v>
      </c>
      <c r="U112" s="53">
        <f>'version consolidée hors UE'!L115</f>
        <v>0</v>
      </c>
      <c r="V112" s="62">
        <f t="shared" si="13"/>
        <v>0</v>
      </c>
      <c r="W112" s="53">
        <f>'version consolidée hors UE'!S115+'version consolidée hors UE'!AI115+'version consolidée hors UE'!AK115</f>
        <v>66</v>
      </c>
      <c r="X112" s="62">
        <f t="shared" si="14"/>
        <v>0.7857142857142857</v>
      </c>
      <c r="Y112" s="53">
        <f t="shared" si="15"/>
        <v>84</v>
      </c>
      <c r="Z112" s="62">
        <f t="shared" si="16"/>
        <v>1</v>
      </c>
      <c r="AB112" s="62">
        <f t="shared" si="17"/>
        <v>1.9926713974161695E-4</v>
      </c>
      <c r="AC112" s="62">
        <f t="shared" si="18"/>
        <v>0</v>
      </c>
      <c r="AD112" s="62">
        <f t="shared" si="19"/>
        <v>1.5282199710564399E-4</v>
      </c>
    </row>
    <row r="113" spans="1:30">
      <c r="A113"/>
      <c r="B113" s="86" t="s">
        <v>166</v>
      </c>
      <c r="C113" s="131">
        <f>'version consolidée hors UE'!AN116</f>
        <v>34</v>
      </c>
      <c r="D113" s="22">
        <f t="shared" si="10"/>
        <v>6.4786461916040559E-5</v>
      </c>
      <c r="E113" s="86">
        <f t="shared" si="11"/>
        <v>102</v>
      </c>
      <c r="R113" s="86" t="s">
        <v>166</v>
      </c>
      <c r="S113" s="53">
        <f>'version consolidée hors UE'!E116</f>
        <v>4</v>
      </c>
      <c r="T113" s="62">
        <f t="shared" si="12"/>
        <v>0.11764705882352941</v>
      </c>
      <c r="U113" s="53">
        <f>'version consolidée hors UE'!L116</f>
        <v>2</v>
      </c>
      <c r="V113" s="62">
        <f t="shared" si="13"/>
        <v>5.8823529411764705E-2</v>
      </c>
      <c r="W113" s="53">
        <f>'version consolidée hors UE'!S116+'version consolidée hors UE'!AI116+'version consolidée hors UE'!AK116</f>
        <v>28</v>
      </c>
      <c r="X113" s="62">
        <f t="shared" si="14"/>
        <v>0.82352941176470584</v>
      </c>
      <c r="Y113" s="53">
        <f t="shared" si="15"/>
        <v>34</v>
      </c>
      <c r="Z113" s="62">
        <f t="shared" si="16"/>
        <v>1</v>
      </c>
      <c r="AB113" s="62">
        <f t="shared" si="17"/>
        <v>4.4281586609248208E-5</v>
      </c>
      <c r="AC113" s="62">
        <f t="shared" si="18"/>
        <v>7.7071290944123315E-4</v>
      </c>
      <c r="AD113" s="62">
        <f t="shared" si="19"/>
        <v>6.4833574529667148E-5</v>
      </c>
    </row>
    <row r="114" spans="1:30">
      <c r="A114"/>
      <c r="B114" s="86" t="s">
        <v>220</v>
      </c>
      <c r="C114" s="131">
        <f>'version consolidée hors UE'!AN117</f>
        <v>7341</v>
      </c>
      <c r="D114" s="22">
        <f t="shared" si="10"/>
        <v>1.3988159321342756E-2</v>
      </c>
      <c r="E114" s="86">
        <f t="shared" si="11"/>
        <v>8</v>
      </c>
      <c r="R114" s="86" t="s">
        <v>220</v>
      </c>
      <c r="S114" s="53">
        <f>'version consolidée hors UE'!E117</f>
        <v>1874</v>
      </c>
      <c r="T114" s="62">
        <f t="shared" si="12"/>
        <v>0.25527857240158014</v>
      </c>
      <c r="U114" s="53">
        <f>'version consolidée hors UE'!L117</f>
        <v>49</v>
      </c>
      <c r="V114" s="62">
        <f t="shared" si="13"/>
        <v>6.6748399400626615E-3</v>
      </c>
      <c r="W114" s="53">
        <f>'version consolidée hors UE'!S117+'version consolidée hors UE'!AI117+'version consolidée hors UE'!AK117</f>
        <v>5418</v>
      </c>
      <c r="X114" s="62">
        <f t="shared" si="14"/>
        <v>0.73804658765835718</v>
      </c>
      <c r="Y114" s="53">
        <f t="shared" si="15"/>
        <v>7341</v>
      </c>
      <c r="Z114" s="62">
        <f t="shared" si="16"/>
        <v>1</v>
      </c>
      <c r="AB114" s="62">
        <f t="shared" si="17"/>
        <v>2.0745923326432786E-2</v>
      </c>
      <c r="AC114" s="62">
        <f t="shared" si="18"/>
        <v>1.8882466281310212E-2</v>
      </c>
      <c r="AD114" s="62">
        <f t="shared" si="19"/>
        <v>1.2545296671490593E-2</v>
      </c>
    </row>
    <row r="115" spans="1:30">
      <c r="A115"/>
      <c r="B115" s="86" t="s">
        <v>121</v>
      </c>
      <c r="C115" s="131">
        <f>'version consolidée hors UE'!AN118</f>
        <v>391</v>
      </c>
      <c r="D115" s="22">
        <f t="shared" si="10"/>
        <v>7.4504431203446634E-4</v>
      </c>
      <c r="E115" s="86">
        <f t="shared" si="11"/>
        <v>44</v>
      </c>
      <c r="R115" s="86" t="s">
        <v>121</v>
      </c>
      <c r="S115" s="53">
        <f>'version consolidée hors UE'!E118</f>
        <v>337</v>
      </c>
      <c r="T115" s="62">
        <f t="shared" si="12"/>
        <v>0.86189258312020456</v>
      </c>
      <c r="U115" s="53">
        <f>'version consolidée hors UE'!L118</f>
        <v>1</v>
      </c>
      <c r="V115" s="62">
        <f t="shared" si="13"/>
        <v>2.5575447570332483E-3</v>
      </c>
      <c r="W115" s="53">
        <f>'version consolidée hors UE'!S118+'version consolidée hors UE'!AI118+'version consolidée hors UE'!AK118</f>
        <v>53</v>
      </c>
      <c r="X115" s="62">
        <f t="shared" si="14"/>
        <v>0.13554987212276215</v>
      </c>
      <c r="Y115" s="53">
        <f t="shared" si="15"/>
        <v>391</v>
      </c>
      <c r="Z115" s="62">
        <f t="shared" si="16"/>
        <v>1</v>
      </c>
      <c r="AB115" s="62">
        <f t="shared" si="17"/>
        <v>3.7307236718291618E-3</v>
      </c>
      <c r="AC115" s="62">
        <f t="shared" si="18"/>
        <v>3.8535645472061658E-4</v>
      </c>
      <c r="AD115" s="62">
        <f t="shared" si="19"/>
        <v>1.2272069464544139E-4</v>
      </c>
    </row>
    <row r="116" spans="1:30">
      <c r="A116"/>
      <c r="B116" s="86" t="s">
        <v>122</v>
      </c>
      <c r="C116" s="131">
        <f>'version consolidée hors UE'!AN119</f>
        <v>68</v>
      </c>
      <c r="D116" s="22">
        <f t="shared" si="10"/>
        <v>1.2957292383208112E-4</v>
      </c>
      <c r="E116" s="86">
        <f t="shared" si="11"/>
        <v>85</v>
      </c>
      <c r="R116" s="86" t="s">
        <v>122</v>
      </c>
      <c r="S116" s="53">
        <f>'version consolidée hors UE'!E119</f>
        <v>51</v>
      </c>
      <c r="T116" s="62">
        <f t="shared" si="12"/>
        <v>0.75</v>
      </c>
      <c r="U116" s="53">
        <f>'version consolidée hors UE'!L119</f>
        <v>0</v>
      </c>
      <c r="V116" s="62">
        <f t="shared" si="13"/>
        <v>0</v>
      </c>
      <c r="W116" s="53">
        <f>'version consolidée hors UE'!S119+'version consolidée hors UE'!AI119+'version consolidée hors UE'!AK119</f>
        <v>17</v>
      </c>
      <c r="X116" s="62">
        <f t="shared" si="14"/>
        <v>0.25</v>
      </c>
      <c r="Y116" s="53">
        <f t="shared" si="15"/>
        <v>68</v>
      </c>
      <c r="Z116" s="62">
        <f t="shared" si="16"/>
        <v>1</v>
      </c>
      <c r="AB116" s="62">
        <f t="shared" si="17"/>
        <v>5.6459022926791467E-4</v>
      </c>
      <c r="AC116" s="62">
        <f t="shared" si="18"/>
        <v>0</v>
      </c>
      <c r="AD116" s="62">
        <f t="shared" si="19"/>
        <v>3.9363241678726486E-5</v>
      </c>
    </row>
    <row r="117" spans="1:30">
      <c r="A117"/>
      <c r="B117" s="86" t="s">
        <v>123</v>
      </c>
      <c r="C117" s="131">
        <f>'version consolidée hors UE'!AN120</f>
        <v>25</v>
      </c>
      <c r="D117" s="22">
        <f t="shared" si="10"/>
        <v>4.7637104350029822E-5</v>
      </c>
      <c r="E117" s="86">
        <f t="shared" si="11"/>
        <v>115</v>
      </c>
      <c r="R117" s="86" t="s">
        <v>123</v>
      </c>
      <c r="S117" s="53">
        <f>'version consolidée hors UE'!E120</f>
        <v>9</v>
      </c>
      <c r="T117" s="62">
        <f t="shared" si="12"/>
        <v>0.36</v>
      </c>
      <c r="U117" s="53">
        <f>'version consolidée hors UE'!L120</f>
        <v>0</v>
      </c>
      <c r="V117" s="62">
        <f t="shared" si="13"/>
        <v>0</v>
      </c>
      <c r="W117" s="53">
        <f>'version consolidée hors UE'!S120+'version consolidée hors UE'!AI120+'version consolidée hors UE'!AK120</f>
        <v>16</v>
      </c>
      <c r="X117" s="62">
        <f t="shared" si="14"/>
        <v>0.64</v>
      </c>
      <c r="Y117" s="53">
        <f t="shared" si="15"/>
        <v>25</v>
      </c>
      <c r="Z117" s="62">
        <f t="shared" si="16"/>
        <v>1</v>
      </c>
      <c r="AB117" s="62">
        <f t="shared" si="17"/>
        <v>9.9633569870808474E-5</v>
      </c>
      <c r="AC117" s="62">
        <f t="shared" si="18"/>
        <v>0</v>
      </c>
      <c r="AD117" s="62">
        <f t="shared" si="19"/>
        <v>3.7047756874095515E-5</v>
      </c>
    </row>
    <row r="118" spans="1:30">
      <c r="A118"/>
      <c r="B118" s="86" t="s">
        <v>167</v>
      </c>
      <c r="C118" s="131">
        <f>'version consolidée hors UE'!AN121</f>
        <v>13</v>
      </c>
      <c r="D118" s="22">
        <f t="shared" si="10"/>
        <v>2.4771294262015508E-5</v>
      </c>
      <c r="E118" s="86">
        <f t="shared" si="11"/>
        <v>122</v>
      </c>
      <c r="R118" s="86" t="s">
        <v>167</v>
      </c>
      <c r="S118" s="53">
        <f>'version consolidée hors UE'!E121</f>
        <v>11</v>
      </c>
      <c r="T118" s="62">
        <f t="shared" si="12"/>
        <v>0.84615384615384615</v>
      </c>
      <c r="U118" s="53">
        <f>'version consolidée hors UE'!L121</f>
        <v>0</v>
      </c>
      <c r="V118" s="62">
        <f t="shared" si="13"/>
        <v>0</v>
      </c>
      <c r="W118" s="53">
        <f>'version consolidée hors UE'!S121+'version consolidée hors UE'!AI121+'version consolidée hors UE'!AK121</f>
        <v>2</v>
      </c>
      <c r="X118" s="62">
        <f t="shared" si="14"/>
        <v>0.15384615384615385</v>
      </c>
      <c r="Y118" s="53">
        <f t="shared" si="15"/>
        <v>13</v>
      </c>
      <c r="Z118" s="62">
        <f t="shared" si="16"/>
        <v>1</v>
      </c>
      <c r="AB118" s="62">
        <f t="shared" si="17"/>
        <v>1.2177436317543257E-4</v>
      </c>
      <c r="AC118" s="62">
        <f t="shared" si="18"/>
        <v>0</v>
      </c>
      <c r="AD118" s="62">
        <f t="shared" si="19"/>
        <v>4.6309696092619394E-6</v>
      </c>
    </row>
    <row r="119" spans="1:30">
      <c r="A119"/>
      <c r="B119" s="86" t="s">
        <v>124</v>
      </c>
      <c r="C119" s="131">
        <f>'version consolidée hors UE'!AN122</f>
        <v>26</v>
      </c>
      <c r="D119" s="22">
        <f t="shared" si="10"/>
        <v>4.9542588524031017E-5</v>
      </c>
      <c r="E119" s="86">
        <f t="shared" si="11"/>
        <v>110</v>
      </c>
      <c r="R119" s="86" t="s">
        <v>124</v>
      </c>
      <c r="S119" s="53">
        <f>'version consolidée hors UE'!E122</f>
        <v>17</v>
      </c>
      <c r="T119" s="62">
        <f t="shared" si="12"/>
        <v>0.65384615384615385</v>
      </c>
      <c r="U119" s="53">
        <f>'version consolidée hors UE'!L122</f>
        <v>2</v>
      </c>
      <c r="V119" s="62">
        <f t="shared" si="13"/>
        <v>7.6923076923076927E-2</v>
      </c>
      <c r="W119" s="53">
        <f>'version consolidée hors UE'!S122+'version consolidée hors UE'!AI122+'version consolidée hors UE'!AK122</f>
        <v>7</v>
      </c>
      <c r="X119" s="62">
        <f t="shared" si="14"/>
        <v>0.26923076923076922</v>
      </c>
      <c r="Y119" s="53">
        <f t="shared" si="15"/>
        <v>26</v>
      </c>
      <c r="Z119" s="62">
        <f t="shared" si="16"/>
        <v>1</v>
      </c>
      <c r="AB119" s="62">
        <f t="shared" si="17"/>
        <v>1.8819674308930489E-4</v>
      </c>
      <c r="AC119" s="62">
        <f t="shared" si="18"/>
        <v>7.7071290944123315E-4</v>
      </c>
      <c r="AD119" s="62">
        <f t="shared" si="19"/>
        <v>1.6208393632416787E-5</v>
      </c>
    </row>
    <row r="120" spans="1:30">
      <c r="A120"/>
      <c r="B120" s="132" t="s">
        <v>306</v>
      </c>
      <c r="C120" s="131">
        <f>'version consolidée hors UE'!AN123</f>
        <v>1</v>
      </c>
      <c r="D120" s="22">
        <f t="shared" si="10"/>
        <v>1.9054841740011928E-6</v>
      </c>
      <c r="E120" s="86">
        <f t="shared" si="11"/>
        <v>161</v>
      </c>
      <c r="R120" s="132" t="s">
        <v>306</v>
      </c>
      <c r="S120" s="53">
        <f>'version consolidée hors UE'!E123</f>
        <v>1</v>
      </c>
      <c r="T120" s="62">
        <f t="shared" si="12"/>
        <v>1</v>
      </c>
      <c r="U120" s="53">
        <f>'version consolidée hors UE'!L123</f>
        <v>0</v>
      </c>
      <c r="V120" s="62">
        <f t="shared" si="13"/>
        <v>0</v>
      </c>
      <c r="W120" s="53">
        <f>'version consolidée hors UE'!S123+'version consolidée hors UE'!AI123+'version consolidée hors UE'!AK123</f>
        <v>0</v>
      </c>
      <c r="X120" s="62">
        <f t="shared" si="14"/>
        <v>0</v>
      </c>
      <c r="Y120" s="53">
        <f t="shared" si="15"/>
        <v>1</v>
      </c>
      <c r="Z120" s="62">
        <f t="shared" si="16"/>
        <v>1</v>
      </c>
      <c r="AB120" s="62">
        <f t="shared" si="17"/>
        <v>1.1070396652312052E-5</v>
      </c>
      <c r="AC120" s="62">
        <f t="shared" si="18"/>
        <v>0</v>
      </c>
      <c r="AD120" s="62">
        <f t="shared" si="19"/>
        <v>0</v>
      </c>
    </row>
    <row r="121" spans="1:30">
      <c r="A121"/>
      <c r="B121" s="86" t="s">
        <v>168</v>
      </c>
      <c r="C121" s="131">
        <f>'version consolidée hors UE'!AN124</f>
        <v>9</v>
      </c>
      <c r="D121" s="22">
        <f t="shared" si="10"/>
        <v>1.7149357566010737E-5</v>
      </c>
      <c r="E121" s="86">
        <f t="shared" si="11"/>
        <v>128</v>
      </c>
      <c r="R121" s="86" t="s">
        <v>168</v>
      </c>
      <c r="S121" s="53">
        <f>'version consolidée hors UE'!E124</f>
        <v>8</v>
      </c>
      <c r="T121" s="62">
        <f t="shared" si="12"/>
        <v>0.88888888888888884</v>
      </c>
      <c r="U121" s="53">
        <f>'version consolidée hors UE'!L124</f>
        <v>0</v>
      </c>
      <c r="V121" s="62">
        <f t="shared" si="13"/>
        <v>0</v>
      </c>
      <c r="W121" s="53">
        <f>'version consolidée hors UE'!S124+'version consolidée hors UE'!AI124+'version consolidée hors UE'!AK124</f>
        <v>1</v>
      </c>
      <c r="X121" s="62">
        <f t="shared" si="14"/>
        <v>0.1111111111111111</v>
      </c>
      <c r="Y121" s="53">
        <f t="shared" si="15"/>
        <v>9</v>
      </c>
      <c r="Z121" s="62">
        <f t="shared" si="16"/>
        <v>1</v>
      </c>
      <c r="AB121" s="62">
        <f t="shared" si="17"/>
        <v>8.8563173218496417E-5</v>
      </c>
      <c r="AC121" s="62">
        <f t="shared" si="18"/>
        <v>0</v>
      </c>
      <c r="AD121" s="62">
        <f t="shared" si="19"/>
        <v>2.3154848046309697E-6</v>
      </c>
    </row>
    <row r="122" spans="1:30">
      <c r="A122"/>
      <c r="B122" s="86" t="s">
        <v>125</v>
      </c>
      <c r="C122" s="131">
        <f>'version consolidée hors UE'!AN125</f>
        <v>209</v>
      </c>
      <c r="D122" s="22">
        <f t="shared" si="10"/>
        <v>3.9824619236624928E-4</v>
      </c>
      <c r="E122" s="86">
        <f t="shared" si="11"/>
        <v>56</v>
      </c>
      <c r="R122" s="86" t="s">
        <v>125</v>
      </c>
      <c r="S122" s="53">
        <f>'version consolidée hors UE'!E125</f>
        <v>109</v>
      </c>
      <c r="T122" s="62">
        <f t="shared" si="12"/>
        <v>0.52153110047846885</v>
      </c>
      <c r="U122" s="53">
        <f>'version consolidée hors UE'!L125</f>
        <v>0</v>
      </c>
      <c r="V122" s="62">
        <f t="shared" si="13"/>
        <v>0</v>
      </c>
      <c r="W122" s="53">
        <f>'version consolidée hors UE'!S125+'version consolidée hors UE'!AI125+'version consolidée hors UE'!AK125</f>
        <v>100</v>
      </c>
      <c r="X122" s="62">
        <f t="shared" si="14"/>
        <v>0.4784688995215311</v>
      </c>
      <c r="Y122" s="53">
        <f t="shared" si="15"/>
        <v>209</v>
      </c>
      <c r="Z122" s="62">
        <f t="shared" si="16"/>
        <v>1</v>
      </c>
      <c r="AB122" s="62">
        <f t="shared" si="17"/>
        <v>1.2066732351020137E-3</v>
      </c>
      <c r="AC122" s="62">
        <f t="shared" si="18"/>
        <v>0</v>
      </c>
      <c r="AD122" s="62">
        <f t="shared" si="19"/>
        <v>2.3154848046309697E-4</v>
      </c>
    </row>
    <row r="123" spans="1:30">
      <c r="A123"/>
      <c r="B123" s="132" t="s">
        <v>307</v>
      </c>
      <c r="C123" s="131">
        <f>'version consolidée hors UE'!AN126</f>
        <v>1</v>
      </c>
      <c r="D123" s="22">
        <f t="shared" si="10"/>
        <v>1.9054841740011928E-6</v>
      </c>
      <c r="E123" s="86">
        <f t="shared" si="11"/>
        <v>161</v>
      </c>
      <c r="R123" s="132" t="s">
        <v>307</v>
      </c>
      <c r="S123" s="53">
        <f>'version consolidée hors UE'!E126</f>
        <v>1</v>
      </c>
      <c r="T123" s="62">
        <f t="shared" si="12"/>
        <v>1</v>
      </c>
      <c r="U123" s="53">
        <f>'version consolidée hors UE'!L126</f>
        <v>0</v>
      </c>
      <c r="V123" s="62">
        <f t="shared" si="13"/>
        <v>0</v>
      </c>
      <c r="W123" s="53">
        <f>'version consolidée hors UE'!S126+'version consolidée hors UE'!AI126+'version consolidée hors UE'!AK126</f>
        <v>0</v>
      </c>
      <c r="X123" s="62">
        <f t="shared" si="14"/>
        <v>0</v>
      </c>
      <c r="Y123" s="53">
        <f t="shared" si="15"/>
        <v>1</v>
      </c>
      <c r="Z123" s="62">
        <f t="shared" si="16"/>
        <v>1</v>
      </c>
      <c r="AB123" s="62">
        <f t="shared" si="17"/>
        <v>1.1070396652312052E-5</v>
      </c>
      <c r="AC123" s="62">
        <f t="shared" si="18"/>
        <v>0</v>
      </c>
      <c r="AD123" s="62">
        <f t="shared" si="19"/>
        <v>0</v>
      </c>
    </row>
    <row r="124" spans="1:30">
      <c r="A124"/>
      <c r="B124" s="86" t="s">
        <v>126</v>
      </c>
      <c r="C124" s="131">
        <f>'version consolidée hors UE'!AN127</f>
        <v>48</v>
      </c>
      <c r="D124" s="22">
        <f t="shared" si="10"/>
        <v>9.1463240352057255E-5</v>
      </c>
      <c r="E124" s="86">
        <f t="shared" si="11"/>
        <v>93</v>
      </c>
      <c r="R124" s="86" t="s">
        <v>126</v>
      </c>
      <c r="S124" s="53">
        <f>'version consolidée hors UE'!E127</f>
        <v>16</v>
      </c>
      <c r="T124" s="62">
        <f t="shared" si="12"/>
        <v>0.33333333333333331</v>
      </c>
      <c r="U124" s="53">
        <f>'version consolidée hors UE'!L127</f>
        <v>0</v>
      </c>
      <c r="V124" s="62">
        <f t="shared" si="13"/>
        <v>0</v>
      </c>
      <c r="W124" s="53">
        <f>'version consolidée hors UE'!S127+'version consolidée hors UE'!AI127+'version consolidée hors UE'!AK127</f>
        <v>32</v>
      </c>
      <c r="X124" s="62">
        <f t="shared" si="14"/>
        <v>0.66666666666666663</v>
      </c>
      <c r="Y124" s="53">
        <f t="shared" si="15"/>
        <v>48</v>
      </c>
      <c r="Z124" s="62">
        <f t="shared" si="16"/>
        <v>1</v>
      </c>
      <c r="AB124" s="62">
        <f t="shared" si="17"/>
        <v>1.7712634643699283E-4</v>
      </c>
      <c r="AC124" s="62">
        <f t="shared" si="18"/>
        <v>0</v>
      </c>
      <c r="AD124" s="62">
        <f t="shared" si="19"/>
        <v>7.4095513748191031E-5</v>
      </c>
    </row>
    <row r="125" spans="1:30">
      <c r="A125"/>
      <c r="B125" s="86" t="s">
        <v>169</v>
      </c>
      <c r="C125" s="131">
        <f>'version consolidée hors UE'!AN128</f>
        <v>971</v>
      </c>
      <c r="D125" s="22">
        <f t="shared" si="10"/>
        <v>1.8502251329551582E-3</v>
      </c>
      <c r="E125" s="86">
        <f t="shared" si="11"/>
        <v>30</v>
      </c>
      <c r="R125" s="86" t="s">
        <v>169</v>
      </c>
      <c r="S125" s="53">
        <f>'version consolidée hors UE'!E128</f>
        <v>873</v>
      </c>
      <c r="T125" s="62">
        <f t="shared" si="12"/>
        <v>0.89907312049433574</v>
      </c>
      <c r="U125" s="53">
        <f>'version consolidée hors UE'!L128</f>
        <v>0</v>
      </c>
      <c r="V125" s="62">
        <f t="shared" si="13"/>
        <v>0</v>
      </c>
      <c r="W125" s="53">
        <f>'version consolidée hors UE'!S128+'version consolidée hors UE'!AI128+'version consolidée hors UE'!AK128</f>
        <v>98</v>
      </c>
      <c r="X125" s="62">
        <f t="shared" si="14"/>
        <v>0.10092687950566426</v>
      </c>
      <c r="Y125" s="53">
        <f t="shared" si="15"/>
        <v>971</v>
      </c>
      <c r="Z125" s="62">
        <f t="shared" si="16"/>
        <v>1</v>
      </c>
      <c r="AB125" s="62">
        <f t="shared" si="17"/>
        <v>9.6644562774684216E-3</v>
      </c>
      <c r="AC125" s="62">
        <f t="shared" si="18"/>
        <v>0</v>
      </c>
      <c r="AD125" s="62">
        <f t="shared" si="19"/>
        <v>2.2691751085383502E-4</v>
      </c>
    </row>
    <row r="126" spans="1:30">
      <c r="A126"/>
      <c r="B126" s="86" t="s">
        <v>127</v>
      </c>
      <c r="C126" s="131">
        <f>'version consolidée hors UE'!AN129</f>
        <v>334</v>
      </c>
      <c r="D126" s="22">
        <f t="shared" si="10"/>
        <v>6.3643171411639841E-4</v>
      </c>
      <c r="E126" s="86">
        <f t="shared" si="11"/>
        <v>48</v>
      </c>
      <c r="R126" s="86" t="s">
        <v>127</v>
      </c>
      <c r="S126" s="53">
        <f>'version consolidée hors UE'!E129</f>
        <v>275</v>
      </c>
      <c r="T126" s="62">
        <f t="shared" si="12"/>
        <v>0.82335329341317365</v>
      </c>
      <c r="U126" s="53">
        <f>'version consolidée hors UE'!L129</f>
        <v>4</v>
      </c>
      <c r="V126" s="62">
        <f t="shared" si="13"/>
        <v>1.1976047904191617E-2</v>
      </c>
      <c r="W126" s="53">
        <f>'version consolidée hors UE'!S129+'version consolidée hors UE'!AI129+'version consolidée hors UE'!AK129</f>
        <v>55</v>
      </c>
      <c r="X126" s="62">
        <f t="shared" si="14"/>
        <v>0.16467065868263472</v>
      </c>
      <c r="Y126" s="53">
        <f t="shared" si="15"/>
        <v>334</v>
      </c>
      <c r="Z126" s="62">
        <f t="shared" si="16"/>
        <v>1</v>
      </c>
      <c r="AB126" s="62">
        <f t="shared" si="17"/>
        <v>3.0443590793858143E-3</v>
      </c>
      <c r="AC126" s="62">
        <f t="shared" si="18"/>
        <v>1.5414258188824663E-3</v>
      </c>
      <c r="AD126" s="62">
        <f t="shared" si="19"/>
        <v>1.2735166425470332E-4</v>
      </c>
    </row>
    <row r="127" spans="1:30">
      <c r="A127"/>
      <c r="B127" s="132" t="s">
        <v>308</v>
      </c>
      <c r="C127" s="131">
        <f>'version consolidée hors UE'!AN130</f>
        <v>0</v>
      </c>
      <c r="D127" s="22">
        <f t="shared" si="10"/>
        <v>0</v>
      </c>
      <c r="E127" s="86">
        <f t="shared" si="11"/>
        <v>168</v>
      </c>
      <c r="R127" s="132" t="s">
        <v>308</v>
      </c>
      <c r="S127" s="53">
        <f>'version consolidée hors UE'!E130</f>
        <v>0</v>
      </c>
      <c r="T127" s="62" t="e">
        <f t="shared" si="12"/>
        <v>#DIV/0!</v>
      </c>
      <c r="U127" s="53">
        <f>'version consolidée hors UE'!L130</f>
        <v>0</v>
      </c>
      <c r="V127" s="62" t="e">
        <f t="shared" si="13"/>
        <v>#DIV/0!</v>
      </c>
      <c r="W127" s="53">
        <f>'version consolidée hors UE'!S130+'version consolidée hors UE'!AI130+'version consolidée hors UE'!AK130</f>
        <v>0</v>
      </c>
      <c r="X127" s="62" t="e">
        <f t="shared" si="14"/>
        <v>#DIV/0!</v>
      </c>
      <c r="Y127" s="53">
        <f t="shared" si="15"/>
        <v>0</v>
      </c>
      <c r="Z127" s="62" t="e">
        <f t="shared" si="16"/>
        <v>#DIV/0!</v>
      </c>
      <c r="AB127" s="62">
        <f t="shared" si="17"/>
        <v>0</v>
      </c>
      <c r="AC127" s="62">
        <f t="shared" si="18"/>
        <v>0</v>
      </c>
      <c r="AD127" s="62">
        <f t="shared" si="19"/>
        <v>0</v>
      </c>
    </row>
    <row r="128" spans="1:30">
      <c r="A128"/>
      <c r="B128" s="86" t="s">
        <v>35</v>
      </c>
      <c r="C128" s="131">
        <f>'version consolidée hors UE'!AN131</f>
        <v>30977</v>
      </c>
      <c r="D128" s="22">
        <f t="shared" si="10"/>
        <v>5.902618325803495E-2</v>
      </c>
      <c r="E128" s="86">
        <f t="shared" si="11"/>
        <v>5</v>
      </c>
      <c r="R128" s="86" t="s">
        <v>35</v>
      </c>
      <c r="S128" s="53">
        <f>'version consolidée hors UE'!E131</f>
        <v>2514</v>
      </c>
      <c r="T128" s="62">
        <f t="shared" si="12"/>
        <v>8.1156987442295894E-2</v>
      </c>
      <c r="U128" s="53">
        <f>'version consolidée hors UE'!L131</f>
        <v>42</v>
      </c>
      <c r="V128" s="62">
        <f t="shared" si="13"/>
        <v>1.3558446589405043E-3</v>
      </c>
      <c r="W128" s="53">
        <f>'version consolidée hors UE'!S131+'version consolidée hors UE'!AI131+'version consolidée hors UE'!AK131</f>
        <v>28421</v>
      </c>
      <c r="X128" s="62">
        <f t="shared" si="14"/>
        <v>0.91748716789876361</v>
      </c>
      <c r="Y128" s="53">
        <f t="shared" si="15"/>
        <v>30977</v>
      </c>
      <c r="Z128" s="62">
        <f t="shared" si="16"/>
        <v>1</v>
      </c>
      <c r="AB128" s="62">
        <f t="shared" si="17"/>
        <v>2.78309771839125E-2</v>
      </c>
      <c r="AC128" s="62">
        <f t="shared" si="18"/>
        <v>1.6184971098265895E-2</v>
      </c>
      <c r="AD128" s="62">
        <f t="shared" si="19"/>
        <v>6.5808393632416792E-2</v>
      </c>
    </row>
    <row r="129" spans="1:30">
      <c r="A129"/>
      <c r="B129" s="86" t="s">
        <v>128</v>
      </c>
      <c r="C129" s="131">
        <f>'version consolidée hors UE'!AN132</f>
        <v>183</v>
      </c>
      <c r="D129" s="22">
        <f t="shared" si="10"/>
        <v>3.4870360384221826E-4</v>
      </c>
      <c r="E129" s="86">
        <f t="shared" si="11"/>
        <v>60</v>
      </c>
      <c r="R129" s="86" t="s">
        <v>128</v>
      </c>
      <c r="S129" s="53">
        <f>'version consolidée hors UE'!E132</f>
        <v>45</v>
      </c>
      <c r="T129" s="62">
        <f t="shared" si="12"/>
        <v>0.24590163934426229</v>
      </c>
      <c r="U129" s="53">
        <f>'version consolidée hors UE'!L132</f>
        <v>0</v>
      </c>
      <c r="V129" s="62">
        <f t="shared" si="13"/>
        <v>0</v>
      </c>
      <c r="W129" s="53">
        <f>'version consolidée hors UE'!S132+'version consolidée hors UE'!AI132+'version consolidée hors UE'!AK132</f>
        <v>138</v>
      </c>
      <c r="X129" s="62">
        <f t="shared" si="14"/>
        <v>0.75409836065573765</v>
      </c>
      <c r="Y129" s="53">
        <f t="shared" si="15"/>
        <v>183</v>
      </c>
      <c r="Z129" s="62">
        <f t="shared" si="16"/>
        <v>1</v>
      </c>
      <c r="AB129" s="62">
        <f t="shared" si="17"/>
        <v>4.9816784935404238E-4</v>
      </c>
      <c r="AC129" s="62">
        <f t="shared" si="18"/>
        <v>0</v>
      </c>
      <c r="AD129" s="62">
        <f t="shared" si="19"/>
        <v>3.1953690303907379E-4</v>
      </c>
    </row>
    <row r="130" spans="1:30">
      <c r="A130"/>
      <c r="B130" s="86" t="s">
        <v>36</v>
      </c>
      <c r="C130" s="131">
        <f>'version consolidée hors UE'!AN133</f>
        <v>13282</v>
      </c>
      <c r="D130" s="22">
        <f t="shared" si="10"/>
        <v>2.5308640799083845E-2</v>
      </c>
      <c r="E130" s="86">
        <f t="shared" si="11"/>
        <v>7</v>
      </c>
      <c r="R130" s="86" t="s">
        <v>36</v>
      </c>
      <c r="S130" s="53">
        <f>'version consolidée hors UE'!E133</f>
        <v>11</v>
      </c>
      <c r="T130" s="62">
        <f t="shared" si="12"/>
        <v>8.2818852582442403E-4</v>
      </c>
      <c r="U130" s="53">
        <f>'version consolidée hors UE'!L133</f>
        <v>54</v>
      </c>
      <c r="V130" s="62">
        <f t="shared" si="13"/>
        <v>4.0656527631380817E-3</v>
      </c>
      <c r="W130" s="53">
        <f>'version consolidée hors UE'!S133+'version consolidée hors UE'!AI133+'version consolidée hors UE'!AK133</f>
        <v>13217</v>
      </c>
      <c r="X130" s="62">
        <f t="shared" si="14"/>
        <v>0.99510615871103747</v>
      </c>
      <c r="Y130" s="53">
        <f t="shared" si="15"/>
        <v>13282</v>
      </c>
      <c r="Z130" s="62">
        <f t="shared" si="16"/>
        <v>1</v>
      </c>
      <c r="AB130" s="62">
        <f t="shared" si="17"/>
        <v>1.2177436317543257E-4</v>
      </c>
      <c r="AC130" s="62">
        <f t="shared" si="18"/>
        <v>2.0809248554913295E-2</v>
      </c>
      <c r="AD130" s="62">
        <f t="shared" si="19"/>
        <v>3.0603762662807524E-2</v>
      </c>
    </row>
    <row r="131" spans="1:30">
      <c r="A131"/>
      <c r="B131" s="86" t="s">
        <v>221</v>
      </c>
      <c r="C131" s="131">
        <f>'version consolidée hors UE'!AN134</f>
        <v>22</v>
      </c>
      <c r="D131" s="22">
        <f t="shared" si="10"/>
        <v>4.1920651828026245E-5</v>
      </c>
      <c r="E131" s="86">
        <f t="shared" si="11"/>
        <v>116</v>
      </c>
      <c r="R131" s="86" t="s">
        <v>221</v>
      </c>
      <c r="S131" s="53">
        <f>'version consolidée hors UE'!E134</f>
        <v>14</v>
      </c>
      <c r="T131" s="62">
        <f t="shared" si="12"/>
        <v>0.63636363636363635</v>
      </c>
      <c r="U131" s="53">
        <f>'version consolidée hors UE'!L134</f>
        <v>0</v>
      </c>
      <c r="V131" s="62">
        <f t="shared" si="13"/>
        <v>0</v>
      </c>
      <c r="W131" s="53">
        <f>'version consolidée hors UE'!S134+'version consolidée hors UE'!AI134+'version consolidée hors UE'!AK134</f>
        <v>8</v>
      </c>
      <c r="X131" s="62">
        <f t="shared" si="14"/>
        <v>0.36363636363636365</v>
      </c>
      <c r="Y131" s="53">
        <f t="shared" si="15"/>
        <v>22</v>
      </c>
      <c r="Z131" s="62">
        <f t="shared" si="16"/>
        <v>1</v>
      </c>
      <c r="AB131" s="62">
        <f t="shared" si="17"/>
        <v>1.5498555313236875E-4</v>
      </c>
      <c r="AC131" s="62">
        <f t="shared" si="18"/>
        <v>0</v>
      </c>
      <c r="AD131" s="62">
        <f t="shared" si="19"/>
        <v>1.8523878437047758E-5</v>
      </c>
    </row>
    <row r="132" spans="1:30">
      <c r="A132"/>
      <c r="B132" s="86" t="s">
        <v>222</v>
      </c>
      <c r="C132" s="131">
        <f>'version consolidée hors UE'!AN135</f>
        <v>80</v>
      </c>
      <c r="D132" s="22">
        <f t="shared" si="10"/>
        <v>1.5243873392009543E-4</v>
      </c>
      <c r="E132" s="86">
        <f t="shared" si="11"/>
        <v>77</v>
      </c>
      <c r="R132" s="86" t="s">
        <v>222</v>
      </c>
      <c r="S132" s="53">
        <f>'version consolidée hors UE'!E135</f>
        <v>35</v>
      </c>
      <c r="T132" s="62">
        <f t="shared" si="12"/>
        <v>0.4375</v>
      </c>
      <c r="U132" s="53">
        <f>'version consolidée hors UE'!L135</f>
        <v>1</v>
      </c>
      <c r="V132" s="62">
        <f t="shared" si="13"/>
        <v>1.2500000000000001E-2</v>
      </c>
      <c r="W132" s="53">
        <f>'version consolidée hors UE'!S135+'version consolidée hors UE'!AI135+'version consolidée hors UE'!AK135</f>
        <v>44</v>
      </c>
      <c r="X132" s="62">
        <f t="shared" si="14"/>
        <v>0.55000000000000004</v>
      </c>
      <c r="Y132" s="53">
        <f t="shared" si="15"/>
        <v>80</v>
      </c>
      <c r="Z132" s="62">
        <f t="shared" si="16"/>
        <v>1</v>
      </c>
      <c r="AB132" s="62">
        <f t="shared" si="17"/>
        <v>3.8746388283092181E-4</v>
      </c>
      <c r="AC132" s="62">
        <f t="shared" si="18"/>
        <v>3.8535645472061658E-4</v>
      </c>
      <c r="AD132" s="62">
        <f t="shared" si="19"/>
        <v>1.0188133140376266E-4</v>
      </c>
    </row>
    <row r="133" spans="1:30">
      <c r="A133"/>
      <c r="B133" s="86" t="s">
        <v>223</v>
      </c>
      <c r="C133" s="131">
        <f>'version consolidée hors UE'!AN136</f>
        <v>1962</v>
      </c>
      <c r="D133" s="22">
        <f t="shared" ref="D133:D164" si="20">C133/$C$190</f>
        <v>3.7385599493903405E-3</v>
      </c>
      <c r="E133" s="86">
        <f t="shared" ref="E133:E189" si="21">RANK(C133,$C$4:$C$189)</f>
        <v>18</v>
      </c>
      <c r="R133" s="86" t="s">
        <v>223</v>
      </c>
      <c r="S133" s="53">
        <f>'version consolidée hors UE'!E136</f>
        <v>1878</v>
      </c>
      <c r="T133" s="62">
        <f t="shared" ref="T133:T189" si="22">S133/Y133</f>
        <v>0.95718654434250761</v>
      </c>
      <c r="U133" s="53">
        <f>'version consolidée hors UE'!L136</f>
        <v>1</v>
      </c>
      <c r="V133" s="62">
        <f t="shared" ref="V133:V183" si="23">U133/Y133</f>
        <v>5.0968399592252807E-4</v>
      </c>
      <c r="W133" s="53">
        <f>'version consolidée hors UE'!S136+'version consolidée hors UE'!AI136+'version consolidée hors UE'!AK136</f>
        <v>83</v>
      </c>
      <c r="X133" s="62">
        <f t="shared" ref="X133:X164" si="24">W133/Y133</f>
        <v>4.2303771661569824E-2</v>
      </c>
      <c r="Y133" s="53">
        <f t="shared" ref="Y133:Y164" si="25">S133+U133+W133</f>
        <v>1962</v>
      </c>
      <c r="Z133" s="62">
        <f t="shared" ref="Z133:Z164" si="26">T133+V133+X133</f>
        <v>1</v>
      </c>
      <c r="AB133" s="62">
        <f t="shared" ref="AB133:AB164" si="27">S133/$S$190</f>
        <v>2.0790204913042034E-2</v>
      </c>
      <c r="AC133" s="62">
        <f t="shared" ref="AC133:AC164" si="28">U133/$U$190</f>
        <v>3.8535645472061658E-4</v>
      </c>
      <c r="AD133" s="62">
        <f t="shared" ref="AD133:AD164" si="29">W133/$W$190</f>
        <v>1.9218523878437047E-4</v>
      </c>
    </row>
    <row r="134" spans="1:30">
      <c r="A134"/>
      <c r="B134" s="132" t="s">
        <v>272</v>
      </c>
      <c r="C134" s="131">
        <f>'version consolidée hors UE'!AN137</f>
        <v>26</v>
      </c>
      <c r="D134" s="22">
        <f t="shared" si="20"/>
        <v>4.9542588524031017E-5</v>
      </c>
      <c r="E134" s="86">
        <f t="shared" si="21"/>
        <v>110</v>
      </c>
      <c r="R134" s="132" t="s">
        <v>272</v>
      </c>
      <c r="S134" s="53">
        <f>'version consolidée hors UE'!E137</f>
        <v>21</v>
      </c>
      <c r="T134" s="62">
        <f t="shared" si="22"/>
        <v>0.80769230769230771</v>
      </c>
      <c r="U134" s="53">
        <f>'version consolidée hors UE'!L137</f>
        <v>1</v>
      </c>
      <c r="V134" s="62">
        <f t="shared" si="23"/>
        <v>3.8461538461538464E-2</v>
      </c>
      <c r="W134" s="53">
        <f>'version consolidée hors UE'!S137+'version consolidée hors UE'!AI137+'version consolidée hors UE'!AK137</f>
        <v>4</v>
      </c>
      <c r="X134" s="62">
        <f t="shared" si="24"/>
        <v>0.15384615384615385</v>
      </c>
      <c r="Y134" s="53">
        <f t="shared" si="25"/>
        <v>26</v>
      </c>
      <c r="Z134" s="62">
        <f t="shared" si="26"/>
        <v>1</v>
      </c>
      <c r="AB134" s="62">
        <f t="shared" si="27"/>
        <v>2.3247832969855309E-4</v>
      </c>
      <c r="AC134" s="62">
        <f t="shared" si="28"/>
        <v>3.8535645472061658E-4</v>
      </c>
      <c r="AD134" s="62">
        <f t="shared" si="29"/>
        <v>9.2619392185238788E-6</v>
      </c>
    </row>
    <row r="135" spans="1:30">
      <c r="A135"/>
      <c r="B135" s="86" t="s">
        <v>129</v>
      </c>
      <c r="C135" s="131">
        <f>'version consolidée hors UE'!AN138</f>
        <v>583</v>
      </c>
      <c r="D135" s="22">
        <f t="shared" si="20"/>
        <v>1.1108972734426954E-3</v>
      </c>
      <c r="E135" s="86">
        <f t="shared" si="21"/>
        <v>39</v>
      </c>
      <c r="R135" s="86" t="s">
        <v>129</v>
      </c>
      <c r="S135" s="53">
        <f>'version consolidée hors UE'!E138</f>
        <v>383</v>
      </c>
      <c r="T135" s="62">
        <f t="shared" si="22"/>
        <v>0.65694682675814753</v>
      </c>
      <c r="U135" s="53">
        <f>'version consolidée hors UE'!L138</f>
        <v>0</v>
      </c>
      <c r="V135" s="62">
        <f t="shared" si="23"/>
        <v>0</v>
      </c>
      <c r="W135" s="53">
        <f>'version consolidée hors UE'!S138+'version consolidée hors UE'!AI138+'version consolidée hors UE'!AK138</f>
        <v>200</v>
      </c>
      <c r="X135" s="62">
        <f t="shared" si="24"/>
        <v>0.34305317324185247</v>
      </c>
      <c r="Y135" s="53">
        <f t="shared" si="25"/>
        <v>583</v>
      </c>
      <c r="Z135" s="62">
        <f t="shared" si="26"/>
        <v>1</v>
      </c>
      <c r="AB135" s="62">
        <f t="shared" si="27"/>
        <v>4.2399619178355163E-3</v>
      </c>
      <c r="AC135" s="62">
        <f t="shared" si="28"/>
        <v>0</v>
      </c>
      <c r="AD135" s="62">
        <f t="shared" si="29"/>
        <v>4.6309696092619395E-4</v>
      </c>
    </row>
    <row r="136" spans="1:30">
      <c r="A136"/>
      <c r="B136" s="86" t="s">
        <v>130</v>
      </c>
      <c r="C136" s="131">
        <f>'version consolidée hors UE'!AN139</f>
        <v>16</v>
      </c>
      <c r="D136" s="22">
        <f t="shared" si="20"/>
        <v>3.0487746784019085E-5</v>
      </c>
      <c r="E136" s="86">
        <f t="shared" si="21"/>
        <v>119</v>
      </c>
      <c r="R136" s="86" t="s">
        <v>130</v>
      </c>
      <c r="S136" s="53">
        <f>'version consolidée hors UE'!E139</f>
        <v>12</v>
      </c>
      <c r="T136" s="62">
        <f t="shared" si="22"/>
        <v>0.75</v>
      </c>
      <c r="U136" s="53">
        <f>'version consolidée hors UE'!L139</f>
        <v>0</v>
      </c>
      <c r="V136" s="62">
        <f t="shared" si="23"/>
        <v>0</v>
      </c>
      <c r="W136" s="53">
        <f>'version consolidée hors UE'!S139+'version consolidée hors UE'!AI139+'version consolidée hors UE'!AK139</f>
        <v>4</v>
      </c>
      <c r="X136" s="62">
        <f t="shared" si="24"/>
        <v>0.25</v>
      </c>
      <c r="Y136" s="53">
        <f t="shared" si="25"/>
        <v>16</v>
      </c>
      <c r="Z136" s="62">
        <f t="shared" si="26"/>
        <v>1</v>
      </c>
      <c r="AB136" s="62">
        <f t="shared" si="27"/>
        <v>1.3284475982774463E-4</v>
      </c>
      <c r="AC136" s="62">
        <f t="shared" si="28"/>
        <v>0</v>
      </c>
      <c r="AD136" s="62">
        <f t="shared" si="29"/>
        <v>9.2619392185238788E-6</v>
      </c>
    </row>
    <row r="137" spans="1:30">
      <c r="A137"/>
      <c r="B137" s="132" t="s">
        <v>309</v>
      </c>
      <c r="C137" s="131">
        <f>'version consolidée hors UE'!AN140</f>
        <v>0</v>
      </c>
      <c r="D137" s="22">
        <f t="shared" si="20"/>
        <v>0</v>
      </c>
      <c r="E137" s="86">
        <f t="shared" si="21"/>
        <v>168</v>
      </c>
      <c r="R137" s="132" t="s">
        <v>309</v>
      </c>
      <c r="S137" s="53">
        <f>'version consolidée hors UE'!E140</f>
        <v>0</v>
      </c>
      <c r="T137" s="62" t="e">
        <f t="shared" si="22"/>
        <v>#DIV/0!</v>
      </c>
      <c r="U137" s="53">
        <f>'version consolidée hors UE'!L140</f>
        <v>0</v>
      </c>
      <c r="V137" s="62" t="e">
        <f t="shared" si="23"/>
        <v>#DIV/0!</v>
      </c>
      <c r="W137" s="53">
        <f>'version consolidée hors UE'!S140+'version consolidée hors UE'!AI140+'version consolidée hors UE'!AK140</f>
        <v>0</v>
      </c>
      <c r="X137" s="62" t="e">
        <f t="shared" si="24"/>
        <v>#DIV/0!</v>
      </c>
      <c r="Y137" s="53">
        <f t="shared" si="25"/>
        <v>0</v>
      </c>
      <c r="Z137" s="62" t="e">
        <f t="shared" si="26"/>
        <v>#DIV/0!</v>
      </c>
      <c r="AB137" s="62">
        <f t="shared" si="27"/>
        <v>0</v>
      </c>
      <c r="AC137" s="62">
        <f t="shared" si="28"/>
        <v>0</v>
      </c>
      <c r="AD137" s="62">
        <f t="shared" si="29"/>
        <v>0</v>
      </c>
    </row>
    <row r="138" spans="1:30">
      <c r="A138"/>
      <c r="B138" s="132" t="s">
        <v>365</v>
      </c>
      <c r="C138" s="131">
        <f>'version consolidée hors UE'!AN141</f>
        <v>2</v>
      </c>
      <c r="D138" s="22">
        <f t="shared" ref="D138" si="30">C138/$C$190</f>
        <v>3.8109683480023856E-6</v>
      </c>
      <c r="E138" s="86">
        <f t="shared" ref="E138" si="31">RANK(C138,$C$4:$C$189)</f>
        <v>155</v>
      </c>
      <c r="R138" s="132" t="s">
        <v>365</v>
      </c>
      <c r="S138" s="53">
        <f>'version consolidée hors UE'!E141</f>
        <v>2</v>
      </c>
      <c r="T138" s="62">
        <f t="shared" ref="T138" si="32">S138/Y138</f>
        <v>1</v>
      </c>
      <c r="U138" s="53">
        <f>'version consolidée hors UE'!L141</f>
        <v>0</v>
      </c>
      <c r="V138" s="62">
        <f t="shared" ref="V138" si="33">U138/Y138</f>
        <v>0</v>
      </c>
      <c r="W138" s="53">
        <f>'version consolidée hors UE'!S141+'version consolidée hors UE'!AI141+'version consolidée hors UE'!AK141</f>
        <v>0</v>
      </c>
      <c r="X138" s="62">
        <f t="shared" ref="X138" si="34">W138/Y138</f>
        <v>0</v>
      </c>
      <c r="Y138" s="53">
        <f t="shared" ref="Y138" si="35">S138+U138+W138</f>
        <v>2</v>
      </c>
      <c r="Z138" s="62">
        <f t="shared" ref="Z138" si="36">T138+V138+X138</f>
        <v>1</v>
      </c>
      <c r="AB138" s="62">
        <f t="shared" ref="AB138" si="37">S138/$S$190</f>
        <v>2.2140793304624104E-5</v>
      </c>
      <c r="AC138" s="62">
        <f t="shared" ref="AC138" si="38">U138/$U$190</f>
        <v>0</v>
      </c>
      <c r="AD138" s="62">
        <f t="shared" ref="AD138" si="39">W138/$W$190</f>
        <v>0</v>
      </c>
    </row>
    <row r="139" spans="1:30">
      <c r="A139"/>
      <c r="B139" s="86" t="s">
        <v>132</v>
      </c>
      <c r="C139" s="131">
        <f>'version consolidée hors UE'!AN142</f>
        <v>53</v>
      </c>
      <c r="D139" s="22">
        <f t="shared" si="20"/>
        <v>1.0099066122206322E-4</v>
      </c>
      <c r="E139" s="86">
        <f t="shared" si="21"/>
        <v>90</v>
      </c>
      <c r="R139" s="86" t="s">
        <v>132</v>
      </c>
      <c r="S139" s="53">
        <f>'version consolidée hors UE'!E142</f>
        <v>39</v>
      </c>
      <c r="T139" s="62">
        <f t="shared" si="22"/>
        <v>0.73584905660377353</v>
      </c>
      <c r="U139" s="53">
        <f>'version consolidée hors UE'!L142</f>
        <v>1</v>
      </c>
      <c r="V139" s="62">
        <f t="shared" si="23"/>
        <v>1.8867924528301886E-2</v>
      </c>
      <c r="W139" s="53">
        <f>'version consolidée hors UE'!S142+'version consolidée hors UE'!AI142+'version consolidée hors UE'!AK142</f>
        <v>13</v>
      </c>
      <c r="X139" s="62">
        <f t="shared" si="24"/>
        <v>0.24528301886792453</v>
      </c>
      <c r="Y139" s="53">
        <f t="shared" si="25"/>
        <v>53</v>
      </c>
      <c r="Z139" s="62">
        <f t="shared" si="26"/>
        <v>1</v>
      </c>
      <c r="AB139" s="62">
        <f t="shared" si="27"/>
        <v>4.3174546944017004E-4</v>
      </c>
      <c r="AC139" s="62">
        <f t="shared" si="28"/>
        <v>3.8535645472061658E-4</v>
      </c>
      <c r="AD139" s="62">
        <f t="shared" si="29"/>
        <v>3.0101302460202604E-5</v>
      </c>
    </row>
    <row r="140" spans="1:30">
      <c r="A140"/>
      <c r="B140" s="132" t="s">
        <v>310</v>
      </c>
      <c r="C140" s="131">
        <f>'version consolidée hors UE'!AN143</f>
        <v>26</v>
      </c>
      <c r="D140" s="22">
        <f t="shared" si="20"/>
        <v>4.9542588524031017E-5</v>
      </c>
      <c r="E140" s="86">
        <f t="shared" si="21"/>
        <v>110</v>
      </c>
      <c r="R140" s="132" t="s">
        <v>310</v>
      </c>
      <c r="S140" s="53">
        <f>'version consolidée hors UE'!E143</f>
        <v>26</v>
      </c>
      <c r="T140" s="62">
        <f t="shared" si="22"/>
        <v>1</v>
      </c>
      <c r="U140" s="53">
        <f>'version consolidée hors UE'!L143</f>
        <v>0</v>
      </c>
      <c r="V140" s="62">
        <f t="shared" si="23"/>
        <v>0</v>
      </c>
      <c r="W140" s="53">
        <f>'version consolidée hors UE'!S143+'version consolidée hors UE'!AI143+'version consolidée hors UE'!AK143</f>
        <v>0</v>
      </c>
      <c r="X140" s="62">
        <f t="shared" si="24"/>
        <v>0</v>
      </c>
      <c r="Y140" s="53">
        <f t="shared" si="25"/>
        <v>26</v>
      </c>
      <c r="Z140" s="62">
        <f t="shared" si="26"/>
        <v>1</v>
      </c>
      <c r="AB140" s="62">
        <f t="shared" si="27"/>
        <v>2.8783031296011338E-4</v>
      </c>
      <c r="AC140" s="62">
        <f t="shared" si="28"/>
        <v>0</v>
      </c>
      <c r="AD140" s="62">
        <f t="shared" si="29"/>
        <v>0</v>
      </c>
    </row>
    <row r="141" spans="1:30">
      <c r="A141"/>
      <c r="B141" s="86" t="s">
        <v>131</v>
      </c>
      <c r="C141" s="131">
        <f>'version consolidée hors UE'!AN144</f>
        <v>6</v>
      </c>
      <c r="D141" s="22">
        <f t="shared" si="20"/>
        <v>1.1432905044007157E-5</v>
      </c>
      <c r="E141" s="86">
        <f t="shared" si="21"/>
        <v>137</v>
      </c>
      <c r="R141" s="86" t="s">
        <v>131</v>
      </c>
      <c r="S141" s="53">
        <f>'version consolidée hors UE'!E144</f>
        <v>5</v>
      </c>
      <c r="T141" s="62">
        <f t="shared" si="22"/>
        <v>0.83333333333333337</v>
      </c>
      <c r="U141" s="53">
        <f>'version consolidée hors UE'!L144</f>
        <v>0</v>
      </c>
      <c r="V141" s="62">
        <f t="shared" si="23"/>
        <v>0</v>
      </c>
      <c r="W141" s="53">
        <f>'version consolidée hors UE'!S144+'version consolidée hors UE'!AI144+'version consolidée hors UE'!AK144</f>
        <v>1</v>
      </c>
      <c r="X141" s="62">
        <f t="shared" si="24"/>
        <v>0.16666666666666666</v>
      </c>
      <c r="Y141" s="53">
        <f t="shared" si="25"/>
        <v>6</v>
      </c>
      <c r="Z141" s="62">
        <f t="shared" si="26"/>
        <v>1</v>
      </c>
      <c r="AB141" s="62">
        <f t="shared" si="27"/>
        <v>5.5351983261560259E-5</v>
      </c>
      <c r="AC141" s="62">
        <f t="shared" si="28"/>
        <v>0</v>
      </c>
      <c r="AD141" s="62">
        <f t="shared" si="29"/>
        <v>2.3154848046309697E-6</v>
      </c>
    </row>
    <row r="142" spans="1:30">
      <c r="A142"/>
      <c r="B142" s="132" t="s">
        <v>311</v>
      </c>
      <c r="C142" s="131">
        <f>'version consolidée hors UE'!AN145</f>
        <v>5</v>
      </c>
      <c r="D142" s="22">
        <f t="shared" si="20"/>
        <v>9.5274208700059641E-6</v>
      </c>
      <c r="E142" s="86">
        <f t="shared" si="21"/>
        <v>140</v>
      </c>
      <c r="R142" s="132" t="s">
        <v>311</v>
      </c>
      <c r="S142" s="53">
        <f>'version consolidée hors UE'!E145</f>
        <v>5</v>
      </c>
      <c r="T142" s="62">
        <f t="shared" si="22"/>
        <v>1</v>
      </c>
      <c r="U142" s="53">
        <f>'version consolidée hors UE'!L145</f>
        <v>0</v>
      </c>
      <c r="V142" s="62">
        <f t="shared" si="23"/>
        <v>0</v>
      </c>
      <c r="W142" s="53">
        <f>'version consolidée hors UE'!S145+'version consolidée hors UE'!AI145+'version consolidée hors UE'!AK145</f>
        <v>0</v>
      </c>
      <c r="X142" s="62">
        <f t="shared" si="24"/>
        <v>0</v>
      </c>
      <c r="Y142" s="53">
        <f t="shared" si="25"/>
        <v>5</v>
      </c>
      <c r="Z142" s="62">
        <f t="shared" si="26"/>
        <v>1</v>
      </c>
      <c r="AB142" s="62">
        <f t="shared" si="27"/>
        <v>5.5351983261560259E-5</v>
      </c>
      <c r="AC142" s="62">
        <f t="shared" si="28"/>
        <v>0</v>
      </c>
      <c r="AD142" s="62">
        <f t="shared" si="29"/>
        <v>0</v>
      </c>
    </row>
    <row r="143" spans="1:30">
      <c r="A143"/>
      <c r="B143" s="132" t="s">
        <v>312</v>
      </c>
      <c r="C143" s="131">
        <f>'version consolidée hors UE'!AN146</f>
        <v>0</v>
      </c>
      <c r="D143" s="22">
        <f t="shared" si="20"/>
        <v>0</v>
      </c>
      <c r="E143" s="86">
        <f t="shared" si="21"/>
        <v>168</v>
      </c>
      <c r="R143" s="132" t="s">
        <v>312</v>
      </c>
      <c r="S143" s="53">
        <f>'version consolidée hors UE'!E146</f>
        <v>0</v>
      </c>
      <c r="T143" s="62" t="e">
        <f t="shared" si="22"/>
        <v>#DIV/0!</v>
      </c>
      <c r="U143" s="53">
        <f>'version consolidée hors UE'!L146</f>
        <v>0</v>
      </c>
      <c r="V143" s="62" t="e">
        <f t="shared" si="23"/>
        <v>#DIV/0!</v>
      </c>
      <c r="W143" s="53">
        <f>'version consolidée hors UE'!S146+'version consolidée hors UE'!AI146+'version consolidée hors UE'!AK146</f>
        <v>0</v>
      </c>
      <c r="X143" s="62" t="e">
        <f t="shared" si="24"/>
        <v>#DIV/0!</v>
      </c>
      <c r="Y143" s="53">
        <f t="shared" si="25"/>
        <v>0</v>
      </c>
      <c r="Z143" s="62" t="e">
        <f t="shared" si="26"/>
        <v>#DIV/0!</v>
      </c>
      <c r="AB143" s="62">
        <f t="shared" si="27"/>
        <v>0</v>
      </c>
      <c r="AC143" s="62">
        <f t="shared" si="28"/>
        <v>0</v>
      </c>
      <c r="AD143" s="62">
        <f t="shared" si="29"/>
        <v>0</v>
      </c>
    </row>
    <row r="144" spans="1:30">
      <c r="A144"/>
      <c r="B144" s="132" t="s">
        <v>313</v>
      </c>
      <c r="C144" s="131">
        <f>'version consolidée hors UE'!AN147</f>
        <v>0</v>
      </c>
      <c r="D144" s="22">
        <f t="shared" si="20"/>
        <v>0</v>
      </c>
      <c r="E144" s="86">
        <f t="shared" si="21"/>
        <v>168</v>
      </c>
      <c r="R144" s="132" t="s">
        <v>313</v>
      </c>
      <c r="S144" s="53">
        <f>'version consolidée hors UE'!E147</f>
        <v>0</v>
      </c>
      <c r="T144" s="62" t="e">
        <f t="shared" si="22"/>
        <v>#DIV/0!</v>
      </c>
      <c r="U144" s="53">
        <f>'version consolidée hors UE'!L147</f>
        <v>0</v>
      </c>
      <c r="V144" s="62" t="e">
        <f t="shared" si="23"/>
        <v>#DIV/0!</v>
      </c>
      <c r="W144" s="53">
        <f>'version consolidée hors UE'!S147+'version consolidée hors UE'!AI147+'version consolidée hors UE'!AK147</f>
        <v>0</v>
      </c>
      <c r="X144" s="62" t="e">
        <f t="shared" si="24"/>
        <v>#DIV/0!</v>
      </c>
      <c r="Y144" s="53">
        <f t="shared" si="25"/>
        <v>0</v>
      </c>
      <c r="Z144" s="62" t="e">
        <f t="shared" si="26"/>
        <v>#DIV/0!</v>
      </c>
      <c r="AB144" s="62">
        <f t="shared" si="27"/>
        <v>0</v>
      </c>
      <c r="AC144" s="62">
        <f t="shared" si="28"/>
        <v>0</v>
      </c>
      <c r="AD144" s="62">
        <f t="shared" si="29"/>
        <v>0</v>
      </c>
    </row>
    <row r="145" spans="1:30">
      <c r="A145"/>
      <c r="B145" s="86" t="s">
        <v>238</v>
      </c>
      <c r="C145" s="131">
        <f>'version consolidée hors UE'!AN148</f>
        <v>2</v>
      </c>
      <c r="D145" s="22">
        <f t="shared" si="20"/>
        <v>3.8109683480023856E-6</v>
      </c>
      <c r="E145" s="86">
        <f t="shared" si="21"/>
        <v>155</v>
      </c>
      <c r="R145" s="86" t="s">
        <v>238</v>
      </c>
      <c r="S145" s="53">
        <f>'version consolidée hors UE'!E148</f>
        <v>2</v>
      </c>
      <c r="T145" s="62">
        <f t="shared" si="22"/>
        <v>1</v>
      </c>
      <c r="U145" s="53">
        <f>'version consolidée hors UE'!L148</f>
        <v>0</v>
      </c>
      <c r="V145" s="62">
        <f t="shared" si="23"/>
        <v>0</v>
      </c>
      <c r="W145" s="53">
        <f>'version consolidée hors UE'!S148+'version consolidée hors UE'!AI148+'version consolidée hors UE'!AK148</f>
        <v>0</v>
      </c>
      <c r="X145" s="62">
        <f t="shared" si="24"/>
        <v>0</v>
      </c>
      <c r="Y145" s="53">
        <f t="shared" si="25"/>
        <v>2</v>
      </c>
      <c r="Z145" s="62">
        <f t="shared" si="26"/>
        <v>1</v>
      </c>
      <c r="AB145" s="62">
        <f t="shared" si="27"/>
        <v>2.2140793304624104E-5</v>
      </c>
      <c r="AC145" s="62">
        <f t="shared" si="28"/>
        <v>0</v>
      </c>
      <c r="AD145" s="62">
        <f t="shared" si="29"/>
        <v>0</v>
      </c>
    </row>
    <row r="146" spans="1:30">
      <c r="A146"/>
      <c r="B146" s="86" t="s">
        <v>133</v>
      </c>
      <c r="C146" s="131">
        <f>'version consolidée hors UE'!AN149</f>
        <v>2878</v>
      </c>
      <c r="D146" s="22">
        <f t="shared" si="20"/>
        <v>5.483983452775433E-3</v>
      </c>
      <c r="E146" s="86">
        <f t="shared" si="21"/>
        <v>15</v>
      </c>
      <c r="R146" s="86" t="s">
        <v>133</v>
      </c>
      <c r="S146" s="53">
        <f>'version consolidée hors UE'!E149</f>
        <v>2182</v>
      </c>
      <c r="T146" s="62">
        <f t="shared" si="22"/>
        <v>0.75816539263377347</v>
      </c>
      <c r="U146" s="53">
        <f>'version consolidée hors UE'!L149</f>
        <v>47</v>
      </c>
      <c r="V146" s="62">
        <f t="shared" si="23"/>
        <v>1.6330785267546909E-2</v>
      </c>
      <c r="W146" s="53">
        <f>'version consolidée hors UE'!S149+'version consolidée hors UE'!AI149+'version consolidée hors UE'!AK149</f>
        <v>649</v>
      </c>
      <c r="X146" s="62">
        <f t="shared" si="24"/>
        <v>0.22550382209867964</v>
      </c>
      <c r="Y146" s="53">
        <f t="shared" si="25"/>
        <v>2878</v>
      </c>
      <c r="Z146" s="62">
        <f t="shared" si="26"/>
        <v>1</v>
      </c>
      <c r="AB146" s="62">
        <f t="shared" si="27"/>
        <v>2.4155605495344897E-2</v>
      </c>
      <c r="AC146" s="62">
        <f t="shared" si="28"/>
        <v>1.8111753371868978E-2</v>
      </c>
      <c r="AD146" s="62">
        <f t="shared" si="29"/>
        <v>1.5027496382054994E-3</v>
      </c>
    </row>
    <row r="147" spans="1:30">
      <c r="A147"/>
      <c r="B147" s="86" t="s">
        <v>37</v>
      </c>
      <c r="C147" s="131">
        <f>'version consolidée hors UE'!AN150</f>
        <v>5769</v>
      </c>
      <c r="D147" s="22">
        <f t="shared" si="20"/>
        <v>1.0992738199812882E-2</v>
      </c>
      <c r="E147" s="86">
        <f t="shared" si="21"/>
        <v>11</v>
      </c>
      <c r="R147" s="86" t="s">
        <v>37</v>
      </c>
      <c r="S147" s="53">
        <f>'version consolidée hors UE'!E150</f>
        <v>470</v>
      </c>
      <c r="T147" s="62">
        <f t="shared" si="22"/>
        <v>8.1469925463685214E-2</v>
      </c>
      <c r="U147" s="53">
        <f>'version consolidée hors UE'!L150</f>
        <v>7</v>
      </c>
      <c r="V147" s="62">
        <f t="shared" si="23"/>
        <v>1.2133818686080777E-3</v>
      </c>
      <c r="W147" s="53">
        <f>'version consolidée hors UE'!S150+'version consolidée hors UE'!AI150+'version consolidée hors UE'!AK150</f>
        <v>5292</v>
      </c>
      <c r="X147" s="62">
        <f t="shared" si="24"/>
        <v>0.91731669266770666</v>
      </c>
      <c r="Y147" s="53">
        <f t="shared" si="25"/>
        <v>5769</v>
      </c>
      <c r="Z147" s="62">
        <f t="shared" si="26"/>
        <v>1</v>
      </c>
      <c r="AB147" s="62">
        <f t="shared" si="27"/>
        <v>5.2030864265866644E-3</v>
      </c>
      <c r="AC147" s="62">
        <f t="shared" si="28"/>
        <v>2.6974951830443161E-3</v>
      </c>
      <c r="AD147" s="62">
        <f t="shared" si="29"/>
        <v>1.2253545586107091E-2</v>
      </c>
    </row>
    <row r="148" spans="1:30">
      <c r="A148"/>
      <c r="B148" s="86" t="s">
        <v>134</v>
      </c>
      <c r="C148" s="131">
        <f>'version consolidée hors UE'!AN151</f>
        <v>129</v>
      </c>
      <c r="D148" s="22">
        <f t="shared" si="20"/>
        <v>2.4580745844615388E-4</v>
      </c>
      <c r="E148" s="86">
        <f t="shared" si="21"/>
        <v>68</v>
      </c>
      <c r="R148" s="86" t="s">
        <v>134</v>
      </c>
      <c r="S148" s="53">
        <f>'version consolidée hors UE'!E151</f>
        <v>115</v>
      </c>
      <c r="T148" s="62">
        <f t="shared" si="22"/>
        <v>0.89147286821705429</v>
      </c>
      <c r="U148" s="53">
        <f>'version consolidée hors UE'!L151</f>
        <v>2</v>
      </c>
      <c r="V148" s="62">
        <f t="shared" si="23"/>
        <v>1.5503875968992248E-2</v>
      </c>
      <c r="W148" s="53">
        <f>'version consolidée hors UE'!S151+'version consolidée hors UE'!AI151+'version consolidée hors UE'!AK151</f>
        <v>12</v>
      </c>
      <c r="X148" s="62">
        <f t="shared" si="24"/>
        <v>9.3023255813953487E-2</v>
      </c>
      <c r="Y148" s="53">
        <f t="shared" si="25"/>
        <v>129</v>
      </c>
      <c r="Z148" s="62">
        <f t="shared" si="26"/>
        <v>1</v>
      </c>
      <c r="AB148" s="62">
        <f t="shared" si="27"/>
        <v>1.273095615015886E-3</v>
      </c>
      <c r="AC148" s="62">
        <f t="shared" si="28"/>
        <v>7.7071290944123315E-4</v>
      </c>
      <c r="AD148" s="62">
        <f t="shared" si="29"/>
        <v>2.7785817655571636E-5</v>
      </c>
    </row>
    <row r="149" spans="1:30">
      <c r="A149"/>
      <c r="B149" s="86" t="s">
        <v>239</v>
      </c>
      <c r="C149" s="131">
        <f>'version consolidée hors UE'!AN152</f>
        <v>4</v>
      </c>
      <c r="D149" s="22">
        <f t="shared" si="20"/>
        <v>7.6219366960047713E-6</v>
      </c>
      <c r="E149" s="86">
        <f t="shared" si="21"/>
        <v>144</v>
      </c>
      <c r="R149" s="86" t="s">
        <v>239</v>
      </c>
      <c r="S149" s="53">
        <f>'version consolidée hors UE'!E152</f>
        <v>2</v>
      </c>
      <c r="T149" s="62">
        <f t="shared" si="22"/>
        <v>0.5</v>
      </c>
      <c r="U149" s="53">
        <f>'version consolidée hors UE'!L152</f>
        <v>0</v>
      </c>
      <c r="V149" s="62">
        <f t="shared" si="23"/>
        <v>0</v>
      </c>
      <c r="W149" s="53">
        <f>'version consolidée hors UE'!S152+'version consolidée hors UE'!AI152+'version consolidée hors UE'!AK152</f>
        <v>2</v>
      </c>
      <c r="X149" s="62">
        <f t="shared" si="24"/>
        <v>0.5</v>
      </c>
      <c r="Y149" s="53">
        <f t="shared" si="25"/>
        <v>4</v>
      </c>
      <c r="Z149" s="62">
        <f t="shared" si="26"/>
        <v>1</v>
      </c>
      <c r="AB149" s="62">
        <f t="shared" si="27"/>
        <v>2.2140793304624104E-5</v>
      </c>
      <c r="AC149" s="62">
        <f t="shared" si="28"/>
        <v>0</v>
      </c>
      <c r="AD149" s="62">
        <f t="shared" si="29"/>
        <v>4.6309696092619394E-6</v>
      </c>
    </row>
    <row r="150" spans="1:30">
      <c r="A150"/>
      <c r="B150" s="86" t="s">
        <v>135</v>
      </c>
      <c r="C150" s="131">
        <f>'version consolidée hors UE'!AN153</f>
        <v>737</v>
      </c>
      <c r="D150" s="22">
        <f t="shared" si="20"/>
        <v>1.4043418362388791E-3</v>
      </c>
      <c r="E150" s="86">
        <f t="shared" si="21"/>
        <v>34</v>
      </c>
      <c r="R150" s="86" t="s">
        <v>135</v>
      </c>
      <c r="S150" s="53">
        <f>'version consolidée hors UE'!E153</f>
        <v>476</v>
      </c>
      <c r="T150" s="62">
        <f t="shared" si="22"/>
        <v>0.64586160108548163</v>
      </c>
      <c r="U150" s="53">
        <f>'version consolidée hors UE'!L153</f>
        <v>4</v>
      </c>
      <c r="V150" s="62">
        <f t="shared" si="23"/>
        <v>5.4274084124830389E-3</v>
      </c>
      <c r="W150" s="53">
        <f>'version consolidée hors UE'!S153+'version consolidée hors UE'!AI153+'version consolidée hors UE'!AK153</f>
        <v>257</v>
      </c>
      <c r="X150" s="62">
        <f t="shared" si="24"/>
        <v>0.3487109905020353</v>
      </c>
      <c r="Y150" s="53">
        <f t="shared" si="25"/>
        <v>737</v>
      </c>
      <c r="Z150" s="62">
        <f t="shared" si="26"/>
        <v>1</v>
      </c>
      <c r="AB150" s="62">
        <f t="shared" si="27"/>
        <v>5.2695088065005365E-3</v>
      </c>
      <c r="AC150" s="62">
        <f t="shared" si="28"/>
        <v>1.5414258188824663E-3</v>
      </c>
      <c r="AD150" s="62">
        <f t="shared" si="29"/>
        <v>5.9507959479015917E-4</v>
      </c>
    </row>
    <row r="151" spans="1:30">
      <c r="A151"/>
      <c r="B151" s="86" t="s">
        <v>240</v>
      </c>
      <c r="C151" s="131">
        <f>'version consolidée hors UE'!AN154</f>
        <v>0</v>
      </c>
      <c r="D151" s="22">
        <f t="shared" si="20"/>
        <v>0</v>
      </c>
      <c r="E151" s="86">
        <f t="shared" si="21"/>
        <v>168</v>
      </c>
      <c r="R151" s="86" t="s">
        <v>240</v>
      </c>
      <c r="S151" s="53">
        <f>'version consolidée hors UE'!E154</f>
        <v>0</v>
      </c>
      <c r="T151" s="62" t="e">
        <f t="shared" si="22"/>
        <v>#DIV/0!</v>
      </c>
      <c r="U151" s="53">
        <f>'version consolidée hors UE'!L154</f>
        <v>0</v>
      </c>
      <c r="V151" s="62" t="e">
        <f t="shared" si="23"/>
        <v>#DIV/0!</v>
      </c>
      <c r="W151" s="53">
        <f>'version consolidée hors UE'!S154+'version consolidée hors UE'!AI154+'version consolidée hors UE'!AK154</f>
        <v>0</v>
      </c>
      <c r="X151" s="62" t="e">
        <f t="shared" si="24"/>
        <v>#DIV/0!</v>
      </c>
      <c r="Y151" s="53">
        <f t="shared" si="25"/>
        <v>0</v>
      </c>
      <c r="Z151" s="62" t="e">
        <f t="shared" si="26"/>
        <v>#DIV/0!</v>
      </c>
      <c r="AB151" s="62">
        <f t="shared" si="27"/>
        <v>0</v>
      </c>
      <c r="AC151" s="62">
        <f t="shared" si="28"/>
        <v>0</v>
      </c>
      <c r="AD151" s="62">
        <f t="shared" si="29"/>
        <v>0</v>
      </c>
    </row>
    <row r="152" spans="1:30">
      <c r="A152"/>
      <c r="B152" s="86" t="s">
        <v>136</v>
      </c>
      <c r="C152" s="131">
        <f>'version consolidée hors UE'!AN155</f>
        <v>2</v>
      </c>
      <c r="D152" s="22">
        <f t="shared" si="20"/>
        <v>3.8109683480023856E-6</v>
      </c>
      <c r="E152" s="86">
        <f t="shared" si="21"/>
        <v>155</v>
      </c>
      <c r="R152" s="86" t="s">
        <v>136</v>
      </c>
      <c r="S152" s="53">
        <f>'version consolidée hors UE'!E155</f>
        <v>0</v>
      </c>
      <c r="T152" s="62">
        <f t="shared" si="22"/>
        <v>0</v>
      </c>
      <c r="U152" s="53">
        <f>'version consolidée hors UE'!L155</f>
        <v>0</v>
      </c>
      <c r="V152" s="62">
        <f t="shared" si="23"/>
        <v>0</v>
      </c>
      <c r="W152" s="53">
        <f>'version consolidée hors UE'!S155+'version consolidée hors UE'!AI155+'version consolidée hors UE'!AK155</f>
        <v>2</v>
      </c>
      <c r="X152" s="62">
        <f t="shared" si="24"/>
        <v>1</v>
      </c>
      <c r="Y152" s="53">
        <f t="shared" si="25"/>
        <v>2</v>
      </c>
      <c r="Z152" s="62">
        <f t="shared" si="26"/>
        <v>1</v>
      </c>
      <c r="AB152" s="62">
        <f t="shared" si="27"/>
        <v>0</v>
      </c>
      <c r="AC152" s="62">
        <f t="shared" si="28"/>
        <v>0</v>
      </c>
      <c r="AD152" s="62">
        <f t="shared" si="29"/>
        <v>4.6309696092619394E-6</v>
      </c>
    </row>
    <row r="153" spans="1:30">
      <c r="A153"/>
      <c r="B153" s="132" t="s">
        <v>314</v>
      </c>
      <c r="C153" s="131">
        <f>'version consolidée hors UE'!AN156</f>
        <v>0</v>
      </c>
      <c r="D153" s="22">
        <f t="shared" si="20"/>
        <v>0</v>
      </c>
      <c r="E153" s="86">
        <f t="shared" si="21"/>
        <v>168</v>
      </c>
      <c r="R153" s="132" t="s">
        <v>314</v>
      </c>
      <c r="S153" s="53">
        <f>'version consolidée hors UE'!E156</f>
        <v>0</v>
      </c>
      <c r="T153" s="62" t="e">
        <f t="shared" si="22"/>
        <v>#DIV/0!</v>
      </c>
      <c r="U153" s="53">
        <f>'version consolidée hors UE'!L156</f>
        <v>0</v>
      </c>
      <c r="V153" s="62" t="e">
        <f t="shared" si="23"/>
        <v>#DIV/0!</v>
      </c>
      <c r="W153" s="53">
        <f>'version consolidée hors UE'!S156+'version consolidée hors UE'!AI156+'version consolidée hors UE'!AK156</f>
        <v>0</v>
      </c>
      <c r="X153" s="62" t="e">
        <f t="shared" si="24"/>
        <v>#DIV/0!</v>
      </c>
      <c r="Y153" s="53">
        <f t="shared" si="25"/>
        <v>0</v>
      </c>
      <c r="Z153" s="62" t="e">
        <f t="shared" si="26"/>
        <v>#DIV/0!</v>
      </c>
      <c r="AB153" s="62">
        <f t="shared" si="27"/>
        <v>0</v>
      </c>
      <c r="AC153" s="62">
        <f t="shared" si="28"/>
        <v>0</v>
      </c>
      <c r="AD153" s="62">
        <f t="shared" si="29"/>
        <v>0</v>
      </c>
    </row>
    <row r="154" spans="1:30">
      <c r="A154"/>
      <c r="B154" s="86" t="s">
        <v>137</v>
      </c>
      <c r="C154" s="131">
        <f>'version consolidée hors UE'!AN157</f>
        <v>189</v>
      </c>
      <c r="D154" s="22">
        <f t="shared" si="20"/>
        <v>3.6013650888622547E-4</v>
      </c>
      <c r="E154" s="86">
        <f t="shared" si="21"/>
        <v>58</v>
      </c>
      <c r="R154" s="86" t="s">
        <v>137</v>
      </c>
      <c r="S154" s="53">
        <f>'version consolidée hors UE'!E157</f>
        <v>179</v>
      </c>
      <c r="T154" s="62">
        <f t="shared" si="22"/>
        <v>0.94708994708994709</v>
      </c>
      <c r="U154" s="53">
        <f>'version consolidée hors UE'!L157</f>
        <v>4</v>
      </c>
      <c r="V154" s="62">
        <f t="shared" si="23"/>
        <v>2.1164021164021163E-2</v>
      </c>
      <c r="W154" s="53">
        <f>'version consolidée hors UE'!S157+'version consolidée hors UE'!AI157+'version consolidée hors UE'!AK157</f>
        <v>6</v>
      </c>
      <c r="X154" s="62">
        <f t="shared" si="24"/>
        <v>3.1746031746031744E-2</v>
      </c>
      <c r="Y154" s="53">
        <f t="shared" si="25"/>
        <v>189</v>
      </c>
      <c r="Z154" s="62">
        <f t="shared" si="26"/>
        <v>1</v>
      </c>
      <c r="AB154" s="62">
        <f t="shared" si="27"/>
        <v>1.9816010007638572E-3</v>
      </c>
      <c r="AC154" s="62">
        <f t="shared" si="28"/>
        <v>1.5414258188824663E-3</v>
      </c>
      <c r="AD154" s="62">
        <f t="shared" si="29"/>
        <v>1.3892908827785818E-5</v>
      </c>
    </row>
    <row r="155" spans="1:30">
      <c r="A155"/>
      <c r="B155" s="132" t="s">
        <v>315</v>
      </c>
      <c r="C155" s="131">
        <f>'version consolidée hors UE'!AN158</f>
        <v>1</v>
      </c>
      <c r="D155" s="22">
        <f t="shared" si="20"/>
        <v>1.9054841740011928E-6</v>
      </c>
      <c r="E155" s="86">
        <f t="shared" si="21"/>
        <v>161</v>
      </c>
      <c r="R155" s="132" t="s">
        <v>315</v>
      </c>
      <c r="S155" s="53">
        <f>'version consolidée hors UE'!E158</f>
        <v>1</v>
      </c>
      <c r="T155" s="62">
        <f t="shared" si="22"/>
        <v>1</v>
      </c>
      <c r="U155" s="53">
        <f>'version consolidée hors UE'!L158</f>
        <v>0</v>
      </c>
      <c r="V155" s="62">
        <f t="shared" si="23"/>
        <v>0</v>
      </c>
      <c r="W155" s="53">
        <f>'version consolidée hors UE'!S158+'version consolidée hors UE'!AI158+'version consolidée hors UE'!AK158</f>
        <v>0</v>
      </c>
      <c r="X155" s="62">
        <f t="shared" si="24"/>
        <v>0</v>
      </c>
      <c r="Y155" s="53">
        <f t="shared" si="25"/>
        <v>1</v>
      </c>
      <c r="Z155" s="62">
        <f t="shared" si="26"/>
        <v>1</v>
      </c>
      <c r="AB155" s="62">
        <f t="shared" si="27"/>
        <v>1.1070396652312052E-5</v>
      </c>
      <c r="AC155" s="62">
        <f t="shared" si="28"/>
        <v>0</v>
      </c>
      <c r="AD155" s="62">
        <f t="shared" si="29"/>
        <v>0</v>
      </c>
    </row>
    <row r="156" spans="1:30">
      <c r="A156"/>
      <c r="B156" s="86" t="s">
        <v>138</v>
      </c>
      <c r="C156" s="131">
        <f>'version consolidée hors UE'!AN159</f>
        <v>13</v>
      </c>
      <c r="D156" s="22">
        <f t="shared" si="20"/>
        <v>2.4771294262015508E-5</v>
      </c>
      <c r="E156" s="86">
        <f t="shared" si="21"/>
        <v>122</v>
      </c>
      <c r="R156" s="86" t="s">
        <v>138</v>
      </c>
      <c r="S156" s="53">
        <f>'version consolidée hors UE'!E159</f>
        <v>5</v>
      </c>
      <c r="T156" s="62">
        <f t="shared" si="22"/>
        <v>0.38461538461538464</v>
      </c>
      <c r="U156" s="53">
        <f>'version consolidée hors UE'!L159</f>
        <v>0</v>
      </c>
      <c r="V156" s="62">
        <f t="shared" si="23"/>
        <v>0</v>
      </c>
      <c r="W156" s="53">
        <f>'version consolidée hors UE'!S159+'version consolidée hors UE'!AI159+'version consolidée hors UE'!AK159</f>
        <v>8</v>
      </c>
      <c r="X156" s="62">
        <f t="shared" si="24"/>
        <v>0.61538461538461542</v>
      </c>
      <c r="Y156" s="53">
        <f t="shared" si="25"/>
        <v>13</v>
      </c>
      <c r="Z156" s="62">
        <f t="shared" si="26"/>
        <v>1</v>
      </c>
      <c r="AB156" s="62">
        <f t="shared" si="27"/>
        <v>5.5351983261560259E-5</v>
      </c>
      <c r="AC156" s="62">
        <f t="shared" si="28"/>
        <v>0</v>
      </c>
      <c r="AD156" s="62">
        <f t="shared" si="29"/>
        <v>1.8523878437047758E-5</v>
      </c>
    </row>
    <row r="157" spans="1:30">
      <c r="A157"/>
      <c r="B157" s="86" t="s">
        <v>241</v>
      </c>
      <c r="C157" s="131">
        <f>'version consolidée hors UE'!AN160</f>
        <v>4</v>
      </c>
      <c r="D157" s="22">
        <f t="shared" si="20"/>
        <v>7.6219366960047713E-6</v>
      </c>
      <c r="E157" s="86">
        <f t="shared" si="21"/>
        <v>144</v>
      </c>
      <c r="R157" s="86" t="s">
        <v>241</v>
      </c>
      <c r="S157" s="53">
        <f>'version consolidée hors UE'!E160</f>
        <v>4</v>
      </c>
      <c r="T157" s="62">
        <f t="shared" si="22"/>
        <v>1</v>
      </c>
      <c r="U157" s="53">
        <f>'version consolidée hors UE'!L160</f>
        <v>0</v>
      </c>
      <c r="V157" s="62">
        <f t="shared" si="23"/>
        <v>0</v>
      </c>
      <c r="W157" s="53">
        <f>'version consolidée hors UE'!S160+'version consolidée hors UE'!AI160+'version consolidée hors UE'!AK160</f>
        <v>0</v>
      </c>
      <c r="X157" s="62">
        <f t="shared" si="24"/>
        <v>0</v>
      </c>
      <c r="Y157" s="53">
        <f t="shared" si="25"/>
        <v>4</v>
      </c>
      <c r="Z157" s="62">
        <f t="shared" si="26"/>
        <v>1</v>
      </c>
      <c r="AB157" s="62">
        <f t="shared" si="27"/>
        <v>4.4281586609248208E-5</v>
      </c>
      <c r="AC157" s="62">
        <f t="shared" si="28"/>
        <v>0</v>
      </c>
      <c r="AD157" s="62">
        <f t="shared" si="29"/>
        <v>0</v>
      </c>
    </row>
    <row r="158" spans="1:30">
      <c r="A158"/>
      <c r="B158" s="86" t="s">
        <v>139</v>
      </c>
      <c r="C158" s="131">
        <f>'version consolidée hors UE'!AN161</f>
        <v>8</v>
      </c>
      <c r="D158" s="22">
        <f t="shared" si="20"/>
        <v>1.5243873392009543E-5</v>
      </c>
      <c r="E158" s="86">
        <f t="shared" si="21"/>
        <v>132</v>
      </c>
      <c r="R158" s="86" t="s">
        <v>139</v>
      </c>
      <c r="S158" s="53">
        <f>'version consolidée hors UE'!E161</f>
        <v>7</v>
      </c>
      <c r="T158" s="62">
        <f t="shared" si="22"/>
        <v>0.875</v>
      </c>
      <c r="U158" s="53">
        <f>'version consolidée hors UE'!L161</f>
        <v>0</v>
      </c>
      <c r="V158" s="62">
        <f t="shared" si="23"/>
        <v>0</v>
      </c>
      <c r="W158" s="53">
        <f>'version consolidée hors UE'!S161+'version consolidée hors UE'!AI161+'version consolidée hors UE'!AK161</f>
        <v>1</v>
      </c>
      <c r="X158" s="62">
        <f t="shared" si="24"/>
        <v>0.125</v>
      </c>
      <c r="Y158" s="53">
        <f t="shared" si="25"/>
        <v>8</v>
      </c>
      <c r="Z158" s="62">
        <f t="shared" si="26"/>
        <v>1</v>
      </c>
      <c r="AB158" s="62">
        <f t="shared" si="27"/>
        <v>7.7492776566184373E-5</v>
      </c>
      <c r="AC158" s="62">
        <f t="shared" si="28"/>
        <v>0</v>
      </c>
      <c r="AD158" s="62">
        <f t="shared" si="29"/>
        <v>2.3154848046309697E-6</v>
      </c>
    </row>
    <row r="159" spans="1:30">
      <c r="A159"/>
      <c r="B159" s="86" t="s">
        <v>242</v>
      </c>
      <c r="C159" s="131">
        <f>'version consolidée hors UE'!AN162</f>
        <v>4</v>
      </c>
      <c r="D159" s="22">
        <f t="shared" si="20"/>
        <v>7.6219366960047713E-6</v>
      </c>
      <c r="E159" s="86">
        <f t="shared" si="21"/>
        <v>144</v>
      </c>
      <c r="M159" s="27"/>
      <c r="R159" s="86" t="s">
        <v>242</v>
      </c>
      <c r="S159" s="53">
        <f>'version consolidée hors UE'!E162</f>
        <v>4</v>
      </c>
      <c r="T159" s="62">
        <f t="shared" si="22"/>
        <v>1</v>
      </c>
      <c r="U159" s="53">
        <f>'version consolidée hors UE'!L162</f>
        <v>0</v>
      </c>
      <c r="V159" s="62">
        <f t="shared" si="23"/>
        <v>0</v>
      </c>
      <c r="W159" s="53">
        <f>'version consolidée hors UE'!S162+'version consolidée hors UE'!AI162+'version consolidée hors UE'!AK162</f>
        <v>0</v>
      </c>
      <c r="X159" s="62">
        <f t="shared" si="24"/>
        <v>0</v>
      </c>
      <c r="Y159" s="53">
        <f t="shared" si="25"/>
        <v>4</v>
      </c>
      <c r="Z159" s="62">
        <f t="shared" si="26"/>
        <v>1</v>
      </c>
      <c r="AB159" s="62">
        <f t="shared" si="27"/>
        <v>4.4281586609248208E-5</v>
      </c>
      <c r="AC159" s="62">
        <f t="shared" si="28"/>
        <v>0</v>
      </c>
      <c r="AD159" s="62">
        <f t="shared" si="29"/>
        <v>0</v>
      </c>
    </row>
    <row r="160" spans="1:30">
      <c r="A160"/>
      <c r="B160" s="86" t="s">
        <v>140</v>
      </c>
      <c r="C160" s="131">
        <f>'version consolidée hors UE'!AN163</f>
        <v>144</v>
      </c>
      <c r="D160" s="22">
        <f t="shared" si="20"/>
        <v>2.7438972105617179E-4</v>
      </c>
      <c r="E160" s="86">
        <f t="shared" si="21"/>
        <v>67</v>
      </c>
      <c r="R160" s="86" t="s">
        <v>140</v>
      </c>
      <c r="S160" s="53">
        <f>'version consolidée hors UE'!E163</f>
        <v>117</v>
      </c>
      <c r="T160" s="62">
        <f t="shared" si="22"/>
        <v>0.8125</v>
      </c>
      <c r="U160" s="53">
        <f>'version consolidée hors UE'!L163</f>
        <v>0</v>
      </c>
      <c r="V160" s="62">
        <f t="shared" si="23"/>
        <v>0</v>
      </c>
      <c r="W160" s="53">
        <f>'version consolidée hors UE'!S163+'version consolidée hors UE'!AI163+'version consolidée hors UE'!AK163</f>
        <v>27</v>
      </c>
      <c r="X160" s="62">
        <f t="shared" si="24"/>
        <v>0.1875</v>
      </c>
      <c r="Y160" s="53">
        <f t="shared" si="25"/>
        <v>144</v>
      </c>
      <c r="Z160" s="62">
        <f t="shared" si="26"/>
        <v>1</v>
      </c>
      <c r="AB160" s="62">
        <f t="shared" si="27"/>
        <v>1.2952364083205102E-3</v>
      </c>
      <c r="AC160" s="62">
        <f t="shared" si="28"/>
        <v>0</v>
      </c>
      <c r="AD160" s="62">
        <f t="shared" si="29"/>
        <v>6.2518089725036185E-5</v>
      </c>
    </row>
    <row r="161" spans="1:30">
      <c r="A161"/>
      <c r="B161" s="86" t="s">
        <v>141</v>
      </c>
      <c r="C161" s="131">
        <f>'version consolidée hors UE'!AN164</f>
        <v>73</v>
      </c>
      <c r="D161" s="22">
        <f t="shared" si="20"/>
        <v>1.3910034470208707E-4</v>
      </c>
      <c r="E161" s="86">
        <f t="shared" si="21"/>
        <v>82</v>
      </c>
      <c r="R161" s="86" t="s">
        <v>141</v>
      </c>
      <c r="S161" s="53">
        <f>'version consolidée hors UE'!E164</f>
        <v>57</v>
      </c>
      <c r="T161" s="62">
        <f t="shared" si="22"/>
        <v>0.78082191780821919</v>
      </c>
      <c r="U161" s="53">
        <f>'version consolidée hors UE'!L164</f>
        <v>0</v>
      </c>
      <c r="V161" s="62">
        <f t="shared" si="23"/>
        <v>0</v>
      </c>
      <c r="W161" s="53">
        <f>'version consolidée hors UE'!S164+'version consolidée hors UE'!AI164+'version consolidée hors UE'!AK164</f>
        <v>16</v>
      </c>
      <c r="X161" s="62">
        <f t="shared" si="24"/>
        <v>0.21917808219178081</v>
      </c>
      <c r="Y161" s="53">
        <f t="shared" si="25"/>
        <v>73</v>
      </c>
      <c r="Z161" s="62">
        <f t="shared" si="26"/>
        <v>1</v>
      </c>
      <c r="AB161" s="62">
        <f t="shared" si="27"/>
        <v>6.3101260918178696E-4</v>
      </c>
      <c r="AC161" s="62">
        <f t="shared" si="28"/>
        <v>0</v>
      </c>
      <c r="AD161" s="62">
        <f t="shared" si="29"/>
        <v>3.7047756874095515E-5</v>
      </c>
    </row>
    <row r="162" spans="1:30">
      <c r="A162"/>
      <c r="B162" s="86" t="s">
        <v>142</v>
      </c>
      <c r="C162" s="131">
        <f>'version consolidée hors UE'!AN165</f>
        <v>30</v>
      </c>
      <c r="D162" s="22">
        <f t="shared" si="20"/>
        <v>5.7164525220035788E-5</v>
      </c>
      <c r="E162" s="86">
        <f t="shared" si="21"/>
        <v>104</v>
      </c>
      <c r="R162" s="86" t="s">
        <v>142</v>
      </c>
      <c r="S162" s="53">
        <f>'version consolidée hors UE'!E165</f>
        <v>8</v>
      </c>
      <c r="T162" s="62">
        <f t="shared" si="22"/>
        <v>0.26666666666666666</v>
      </c>
      <c r="U162" s="53">
        <f>'version consolidée hors UE'!L165</f>
        <v>0</v>
      </c>
      <c r="V162" s="62">
        <f t="shared" si="23"/>
        <v>0</v>
      </c>
      <c r="W162" s="53">
        <f>'version consolidée hors UE'!S165+'version consolidée hors UE'!AI165+'version consolidée hors UE'!AK165</f>
        <v>22</v>
      </c>
      <c r="X162" s="62">
        <f t="shared" si="24"/>
        <v>0.73333333333333328</v>
      </c>
      <c r="Y162" s="53">
        <f t="shared" si="25"/>
        <v>30</v>
      </c>
      <c r="Z162" s="62">
        <f t="shared" si="26"/>
        <v>1</v>
      </c>
      <c r="AB162" s="62">
        <f t="shared" si="27"/>
        <v>8.8563173218496417E-5</v>
      </c>
      <c r="AC162" s="62">
        <f t="shared" si="28"/>
        <v>0</v>
      </c>
      <c r="AD162" s="62">
        <f t="shared" si="29"/>
        <v>5.0940665701881332E-5</v>
      </c>
    </row>
    <row r="163" spans="1:30">
      <c r="A163"/>
      <c r="B163" s="132" t="s">
        <v>143</v>
      </c>
      <c r="C163" s="131">
        <f>'version consolidée hors UE'!AN166</f>
        <v>5846</v>
      </c>
      <c r="D163" s="22">
        <f t="shared" si="20"/>
        <v>1.1139460481210972E-2</v>
      </c>
      <c r="E163" s="86">
        <f t="shared" si="21"/>
        <v>9</v>
      </c>
      <c r="R163" s="132" t="s">
        <v>143</v>
      </c>
      <c r="S163" s="53">
        <f>'version consolidée hors UE'!E166</f>
        <v>5427</v>
      </c>
      <c r="T163" s="62">
        <f t="shared" si="22"/>
        <v>0.92832706123845365</v>
      </c>
      <c r="U163" s="53">
        <f>'version consolidée hors UE'!L166</f>
        <v>15</v>
      </c>
      <c r="V163" s="62">
        <f t="shared" si="23"/>
        <v>2.5658569962367429E-3</v>
      </c>
      <c r="W163" s="53">
        <f>'version consolidée hors UE'!S166+'version consolidée hors UE'!AI166+'version consolidée hors UE'!AK166</f>
        <v>404</v>
      </c>
      <c r="X163" s="62">
        <f t="shared" si="24"/>
        <v>6.9107081765309608E-2</v>
      </c>
      <c r="Y163" s="53">
        <f t="shared" si="25"/>
        <v>5846</v>
      </c>
      <c r="Z163" s="62">
        <f t="shared" si="26"/>
        <v>1</v>
      </c>
      <c r="AB163" s="62">
        <f t="shared" si="27"/>
        <v>6.0079042632097505E-2</v>
      </c>
      <c r="AC163" s="62">
        <f t="shared" si="28"/>
        <v>5.7803468208092483E-3</v>
      </c>
      <c r="AD163" s="62">
        <f t="shared" si="29"/>
        <v>9.354558610709117E-4</v>
      </c>
    </row>
    <row r="164" spans="1:30">
      <c r="A164"/>
      <c r="B164" s="86" t="s">
        <v>170</v>
      </c>
      <c r="C164" s="131">
        <f>'version consolidée hors UE'!AN167</f>
        <v>1</v>
      </c>
      <c r="D164" s="22">
        <f t="shared" si="20"/>
        <v>1.9054841740011928E-6</v>
      </c>
      <c r="E164" s="86">
        <f t="shared" si="21"/>
        <v>161</v>
      </c>
      <c r="R164" s="86" t="s">
        <v>170</v>
      </c>
      <c r="S164" s="53">
        <f>'version consolidée hors UE'!E167</f>
        <v>1</v>
      </c>
      <c r="T164" s="62">
        <f t="shared" si="22"/>
        <v>1</v>
      </c>
      <c r="U164" s="53">
        <f>'version consolidée hors UE'!L167</f>
        <v>0</v>
      </c>
      <c r="V164" s="62">
        <f t="shared" si="23"/>
        <v>0</v>
      </c>
      <c r="W164" s="53">
        <f>'version consolidée hors UE'!S167+'version consolidée hors UE'!AI167+'version consolidée hors UE'!AK167</f>
        <v>0</v>
      </c>
      <c r="X164" s="62">
        <f t="shared" si="24"/>
        <v>0</v>
      </c>
      <c r="Y164" s="53">
        <f t="shared" si="25"/>
        <v>1</v>
      </c>
      <c r="Z164" s="62">
        <f t="shared" si="26"/>
        <v>1</v>
      </c>
      <c r="AB164" s="62">
        <f t="shared" si="27"/>
        <v>1.1070396652312052E-5</v>
      </c>
      <c r="AC164" s="62">
        <f t="shared" si="28"/>
        <v>0</v>
      </c>
      <c r="AD164" s="62">
        <f t="shared" si="29"/>
        <v>0</v>
      </c>
    </row>
    <row r="165" spans="1:30">
      <c r="A165"/>
      <c r="B165" s="86" t="s">
        <v>144</v>
      </c>
      <c r="C165" s="131">
        <f>'version consolidée hors UE'!AN168</f>
        <v>349</v>
      </c>
      <c r="D165" s="22">
        <f t="shared" ref="D165:D183" si="40">C165/$C$190</f>
        <v>6.6501397672641632E-4</v>
      </c>
      <c r="E165" s="86">
        <f t="shared" si="21"/>
        <v>47</v>
      </c>
      <c r="R165" s="86" t="s">
        <v>144</v>
      </c>
      <c r="S165" s="53">
        <f>'version consolidée hors UE'!E168</f>
        <v>190</v>
      </c>
      <c r="T165" s="62">
        <f t="shared" si="22"/>
        <v>0.54441260744985676</v>
      </c>
      <c r="U165" s="53">
        <f>'version consolidée hors UE'!L168</f>
        <v>6</v>
      </c>
      <c r="V165" s="62">
        <f t="shared" si="23"/>
        <v>1.7191977077363897E-2</v>
      </c>
      <c r="W165" s="53">
        <f>'version consolidée hors UE'!S168+'version consolidée hors UE'!AI168+'version consolidée hors UE'!AK168</f>
        <v>153</v>
      </c>
      <c r="X165" s="62">
        <f>W165/Y165</f>
        <v>0.43839541547277938</v>
      </c>
      <c r="Y165" s="53">
        <f>S165+U165+W165</f>
        <v>349</v>
      </c>
      <c r="Z165" s="62">
        <f>T165+V165+X165</f>
        <v>1</v>
      </c>
      <c r="AB165" s="62">
        <f>S165/$S$190</f>
        <v>2.1033753639392899E-3</v>
      </c>
      <c r="AC165" s="62">
        <f t="shared" ref="AC165:AC183" si="41">U165/$U$190</f>
        <v>2.3121387283236996E-3</v>
      </c>
      <c r="AD165" s="62">
        <f t="shared" ref="AD165:AD183" si="42">W165/$W$190</f>
        <v>3.5426917510853834E-4</v>
      </c>
    </row>
    <row r="166" spans="1:30">
      <c r="A166"/>
      <c r="B166" s="132" t="s">
        <v>316</v>
      </c>
      <c r="C166" s="131">
        <f>'version consolidée hors UE'!AN169</f>
        <v>20</v>
      </c>
      <c r="D166" s="22">
        <f t="shared" si="40"/>
        <v>3.8109683480023856E-5</v>
      </c>
      <c r="E166" s="86">
        <f t="shared" si="21"/>
        <v>117</v>
      </c>
      <c r="R166" s="132" t="s">
        <v>316</v>
      </c>
      <c r="S166" s="53">
        <f>'version consolidée hors UE'!E169</f>
        <v>18</v>
      </c>
      <c r="T166" s="62">
        <f t="shared" si="22"/>
        <v>0.9</v>
      </c>
      <c r="U166" s="53">
        <f>'version consolidée hors UE'!L169</f>
        <v>0</v>
      </c>
      <c r="V166" s="62">
        <f t="shared" si="23"/>
        <v>0</v>
      </c>
      <c r="W166" s="53">
        <f>'version consolidée hors UE'!S169+'version consolidée hors UE'!AI169+'version consolidée hors UE'!AK169</f>
        <v>2</v>
      </c>
      <c r="X166" s="62">
        <f t="shared" ref="X166:X189" si="43">W166/Y166</f>
        <v>0.1</v>
      </c>
      <c r="Y166" s="53">
        <f t="shared" ref="Y166:Y189" si="44">S166+U166+W166</f>
        <v>20</v>
      </c>
      <c r="Z166" s="62">
        <f t="shared" ref="Z166:Z189" si="45">T166+V166+X166</f>
        <v>1</v>
      </c>
      <c r="AB166" s="62">
        <f t="shared" ref="AB166:AB183" si="46">S166/$S$190</f>
        <v>1.9926713974161695E-4</v>
      </c>
      <c r="AC166" s="62">
        <f t="shared" si="41"/>
        <v>0</v>
      </c>
      <c r="AD166" s="62">
        <f t="shared" si="42"/>
        <v>4.6309696092619394E-6</v>
      </c>
    </row>
    <row r="167" spans="1:30">
      <c r="A167"/>
      <c r="B167" s="132" t="s">
        <v>317</v>
      </c>
      <c r="C167" s="131">
        <f>'version consolidée hors UE'!AN170</f>
        <v>3</v>
      </c>
      <c r="D167" s="22">
        <f t="shared" si="40"/>
        <v>5.7164525220035785E-6</v>
      </c>
      <c r="E167" s="86">
        <f t="shared" si="21"/>
        <v>153</v>
      </c>
      <c r="R167" s="132" t="s">
        <v>317</v>
      </c>
      <c r="S167" s="53">
        <f>'version consolidée hors UE'!E170</f>
        <v>3</v>
      </c>
      <c r="T167" s="62">
        <f t="shared" si="22"/>
        <v>1</v>
      </c>
      <c r="U167" s="53">
        <f>'version consolidée hors UE'!L170</f>
        <v>0</v>
      </c>
      <c r="V167" s="62">
        <f t="shared" si="23"/>
        <v>0</v>
      </c>
      <c r="W167" s="53">
        <f>'version consolidée hors UE'!S170+'version consolidée hors UE'!AI170+'version consolidée hors UE'!AK170</f>
        <v>0</v>
      </c>
      <c r="X167" s="62">
        <f t="shared" si="43"/>
        <v>0</v>
      </c>
      <c r="Y167" s="53">
        <f t="shared" si="44"/>
        <v>3</v>
      </c>
      <c r="Z167" s="62">
        <f t="shared" si="45"/>
        <v>1</v>
      </c>
      <c r="AB167" s="62">
        <f t="shared" si="46"/>
        <v>3.3211189956936158E-5</v>
      </c>
      <c r="AC167" s="62">
        <f t="shared" si="41"/>
        <v>0</v>
      </c>
      <c r="AD167" s="62">
        <f t="shared" si="42"/>
        <v>0</v>
      </c>
    </row>
    <row r="168" spans="1:30">
      <c r="A168"/>
      <c r="B168" s="132" t="s">
        <v>318</v>
      </c>
      <c r="C168" s="131">
        <f>'version consolidée hors UE'!AN171</f>
        <v>32</v>
      </c>
      <c r="D168" s="22">
        <f t="shared" si="40"/>
        <v>6.097549356803817E-5</v>
      </c>
      <c r="E168" s="86">
        <f t="shared" si="21"/>
        <v>103</v>
      </c>
      <c r="R168" s="132" t="s">
        <v>318</v>
      </c>
      <c r="S168" s="53">
        <f>'version consolidée hors UE'!E171</f>
        <v>31</v>
      </c>
      <c r="T168" s="62">
        <f t="shared" si="22"/>
        <v>0.96875</v>
      </c>
      <c r="U168" s="53">
        <f>'version consolidée hors UE'!L171</f>
        <v>0</v>
      </c>
      <c r="V168" s="62">
        <f t="shared" si="23"/>
        <v>0</v>
      </c>
      <c r="W168" s="53">
        <f>'version consolidée hors UE'!S171+'version consolidée hors UE'!AI171+'version consolidée hors UE'!AK171</f>
        <v>1</v>
      </c>
      <c r="X168" s="62">
        <f t="shared" si="43"/>
        <v>3.125E-2</v>
      </c>
      <c r="Y168" s="53">
        <f t="shared" si="44"/>
        <v>32</v>
      </c>
      <c r="Z168" s="62">
        <f t="shared" si="45"/>
        <v>1</v>
      </c>
      <c r="AB168" s="62">
        <f t="shared" si="46"/>
        <v>3.4318229622167364E-4</v>
      </c>
      <c r="AC168" s="62">
        <f t="shared" si="41"/>
        <v>0</v>
      </c>
      <c r="AD168" s="62">
        <f t="shared" si="42"/>
        <v>2.3154848046309697E-6</v>
      </c>
    </row>
    <row r="169" spans="1:30">
      <c r="A169"/>
      <c r="B169" s="132" t="s">
        <v>319</v>
      </c>
      <c r="C169" s="131">
        <f>'version consolidée hors UE'!AN172</f>
        <v>28</v>
      </c>
      <c r="D169" s="22">
        <f t="shared" si="40"/>
        <v>5.3353556872033399E-5</v>
      </c>
      <c r="E169" s="86">
        <f t="shared" si="21"/>
        <v>106</v>
      </c>
      <c r="R169" s="132" t="s">
        <v>319</v>
      </c>
      <c r="S169" s="53">
        <f>'version consolidée hors UE'!E172</f>
        <v>28</v>
      </c>
      <c r="T169" s="62">
        <f t="shared" si="22"/>
        <v>1</v>
      </c>
      <c r="U169" s="53">
        <f>'version consolidée hors UE'!L172</f>
        <v>0</v>
      </c>
      <c r="V169" s="62">
        <f t="shared" si="23"/>
        <v>0</v>
      </c>
      <c r="W169" s="53">
        <f>'version consolidée hors UE'!S172+'version consolidée hors UE'!AI172+'version consolidée hors UE'!AK172</f>
        <v>0</v>
      </c>
      <c r="X169" s="62">
        <f t="shared" si="43"/>
        <v>0</v>
      </c>
      <c r="Y169" s="53">
        <f t="shared" si="44"/>
        <v>28</v>
      </c>
      <c r="Z169" s="62">
        <f t="shared" si="45"/>
        <v>1</v>
      </c>
      <c r="AB169" s="62">
        <f t="shared" si="46"/>
        <v>3.0997110626473749E-4</v>
      </c>
      <c r="AC169" s="62">
        <f t="shared" si="41"/>
        <v>0</v>
      </c>
      <c r="AD169" s="62">
        <f t="shared" si="42"/>
        <v>0</v>
      </c>
    </row>
    <row r="170" spans="1:30">
      <c r="A170"/>
      <c r="B170" s="132" t="s">
        <v>320</v>
      </c>
      <c r="C170" s="131">
        <f>'version consolidée hors UE'!AN173</f>
        <v>4</v>
      </c>
      <c r="D170" s="22">
        <f t="shared" si="40"/>
        <v>7.6219366960047713E-6</v>
      </c>
      <c r="E170" s="86">
        <f t="shared" si="21"/>
        <v>144</v>
      </c>
      <c r="R170" s="132" t="s">
        <v>320</v>
      </c>
      <c r="S170" s="53">
        <f>'version consolidée hors UE'!E173</f>
        <v>4</v>
      </c>
      <c r="T170" s="62">
        <f t="shared" si="22"/>
        <v>1</v>
      </c>
      <c r="U170" s="53">
        <f>'version consolidée hors UE'!L173</f>
        <v>0</v>
      </c>
      <c r="V170" s="62">
        <f t="shared" si="23"/>
        <v>0</v>
      </c>
      <c r="W170" s="53">
        <f>'version consolidée hors UE'!S173+'version consolidée hors UE'!AI173+'version consolidée hors UE'!AK173</f>
        <v>0</v>
      </c>
      <c r="X170" s="62">
        <f t="shared" si="43"/>
        <v>0</v>
      </c>
      <c r="Y170" s="53">
        <f t="shared" si="44"/>
        <v>4</v>
      </c>
      <c r="Z170" s="62">
        <f t="shared" si="45"/>
        <v>1</v>
      </c>
      <c r="AB170" s="62">
        <f t="shared" si="46"/>
        <v>4.4281586609248208E-5</v>
      </c>
      <c r="AC170" s="62">
        <f t="shared" si="41"/>
        <v>0</v>
      </c>
      <c r="AD170" s="62">
        <f t="shared" si="42"/>
        <v>0</v>
      </c>
    </row>
    <row r="171" spans="1:30">
      <c r="A171"/>
      <c r="B171" s="132" t="s">
        <v>321</v>
      </c>
      <c r="C171" s="131">
        <f>'version consolidée hors UE'!AN174</f>
        <v>1</v>
      </c>
      <c r="D171" s="22">
        <f t="shared" si="40"/>
        <v>1.9054841740011928E-6</v>
      </c>
      <c r="E171" s="86">
        <f t="shared" si="21"/>
        <v>161</v>
      </c>
      <c r="R171" s="132" t="s">
        <v>321</v>
      </c>
      <c r="S171" s="53">
        <f>'version consolidée hors UE'!E174</f>
        <v>1</v>
      </c>
      <c r="T171" s="62">
        <f t="shared" si="22"/>
        <v>1</v>
      </c>
      <c r="U171" s="53">
        <f>'version consolidée hors UE'!L174</f>
        <v>0</v>
      </c>
      <c r="V171" s="62">
        <f t="shared" si="23"/>
        <v>0</v>
      </c>
      <c r="W171" s="53">
        <f>'version consolidée hors UE'!S174+'version consolidée hors UE'!AI174+'version consolidée hors UE'!AK174</f>
        <v>0</v>
      </c>
      <c r="X171" s="62">
        <f t="shared" si="43"/>
        <v>0</v>
      </c>
      <c r="Y171" s="53">
        <f t="shared" si="44"/>
        <v>1</v>
      </c>
      <c r="Z171" s="62">
        <f t="shared" si="45"/>
        <v>1</v>
      </c>
      <c r="AB171" s="62">
        <f t="shared" si="46"/>
        <v>1.1070396652312052E-5</v>
      </c>
      <c r="AC171" s="62">
        <f t="shared" si="41"/>
        <v>0</v>
      </c>
      <c r="AD171" s="62">
        <f t="shared" si="42"/>
        <v>0</v>
      </c>
    </row>
    <row r="172" spans="1:30">
      <c r="A172"/>
      <c r="B172" s="132" t="s">
        <v>322</v>
      </c>
      <c r="C172" s="131">
        <f>'version consolidée hors UE'!AN175</f>
        <v>0</v>
      </c>
      <c r="D172" s="22">
        <f t="shared" si="40"/>
        <v>0</v>
      </c>
      <c r="E172" s="86">
        <f t="shared" si="21"/>
        <v>168</v>
      </c>
      <c r="R172" s="132" t="s">
        <v>322</v>
      </c>
      <c r="S172" s="53">
        <f>'version consolidée hors UE'!E175</f>
        <v>0</v>
      </c>
      <c r="T172" s="62" t="e">
        <f t="shared" si="22"/>
        <v>#DIV/0!</v>
      </c>
      <c r="U172" s="53">
        <f>'version consolidée hors UE'!L175</f>
        <v>0</v>
      </c>
      <c r="V172" s="62" t="e">
        <f t="shared" si="23"/>
        <v>#DIV/0!</v>
      </c>
      <c r="W172" s="53">
        <f>'version consolidée hors UE'!S175+'version consolidée hors UE'!AI175+'version consolidée hors UE'!AK175</f>
        <v>0</v>
      </c>
      <c r="X172" s="62" t="e">
        <f t="shared" si="43"/>
        <v>#DIV/0!</v>
      </c>
      <c r="Y172" s="53">
        <f t="shared" si="44"/>
        <v>0</v>
      </c>
      <c r="Z172" s="62" t="e">
        <f t="shared" si="45"/>
        <v>#DIV/0!</v>
      </c>
      <c r="AB172" s="62">
        <f t="shared" si="46"/>
        <v>0</v>
      </c>
      <c r="AC172" s="62">
        <f t="shared" si="41"/>
        <v>0</v>
      </c>
      <c r="AD172" s="62">
        <f t="shared" si="42"/>
        <v>0</v>
      </c>
    </row>
    <row r="173" spans="1:30">
      <c r="A173"/>
      <c r="B173" s="132" t="s">
        <v>323</v>
      </c>
      <c r="C173" s="131">
        <f>'version consolidée hors UE'!AN176</f>
        <v>7</v>
      </c>
      <c r="D173" s="22">
        <f t="shared" si="40"/>
        <v>1.333838921800835E-5</v>
      </c>
      <c r="E173" s="86">
        <f t="shared" si="21"/>
        <v>133</v>
      </c>
      <c r="R173" s="132" t="s">
        <v>323</v>
      </c>
      <c r="S173" s="53">
        <f>'version consolidée hors UE'!E176</f>
        <v>6</v>
      </c>
      <c r="T173" s="62">
        <f t="shared" si="22"/>
        <v>0.8571428571428571</v>
      </c>
      <c r="U173" s="53">
        <f>'version consolidée hors UE'!L176</f>
        <v>0</v>
      </c>
      <c r="V173" s="62">
        <f t="shared" si="23"/>
        <v>0</v>
      </c>
      <c r="W173" s="53">
        <f>'version consolidée hors UE'!S176+'version consolidée hors UE'!AI176+'version consolidée hors UE'!AK176</f>
        <v>1</v>
      </c>
      <c r="X173" s="62">
        <f t="shared" si="43"/>
        <v>0.14285714285714285</v>
      </c>
      <c r="Y173" s="53">
        <f t="shared" si="44"/>
        <v>7</v>
      </c>
      <c r="Z173" s="62">
        <f t="shared" si="45"/>
        <v>1</v>
      </c>
      <c r="AB173" s="62">
        <f t="shared" si="46"/>
        <v>6.6422379913872316E-5</v>
      </c>
      <c r="AC173" s="62">
        <f t="shared" si="41"/>
        <v>0</v>
      </c>
      <c r="AD173" s="62">
        <f t="shared" si="42"/>
        <v>2.3154848046309697E-6</v>
      </c>
    </row>
    <row r="174" spans="1:30">
      <c r="A174"/>
      <c r="B174" s="86" t="s">
        <v>38</v>
      </c>
      <c r="C174" s="131">
        <f>'version consolidée hors UE'!AN177</f>
        <v>39629</v>
      </c>
      <c r="D174" s="22">
        <f t="shared" si="40"/>
        <v>7.5512432331493268E-2</v>
      </c>
      <c r="E174" s="86">
        <f t="shared" si="21"/>
        <v>3</v>
      </c>
      <c r="R174" s="86" t="s">
        <v>38</v>
      </c>
      <c r="S174" s="53">
        <f>'version consolidée hors UE'!E177</f>
        <v>8815</v>
      </c>
      <c r="T174" s="62">
        <f t="shared" si="22"/>
        <v>0.2224381135027379</v>
      </c>
      <c r="U174" s="53">
        <f>'version consolidée hors UE'!L177</f>
        <v>327</v>
      </c>
      <c r="V174" s="62">
        <f t="shared" si="23"/>
        <v>8.2515329682808052E-3</v>
      </c>
      <c r="W174" s="53">
        <f>'version consolidée hors UE'!S177+'version consolidée hors UE'!AI177+'version consolidée hors UE'!AK177</f>
        <v>30487</v>
      </c>
      <c r="X174" s="62">
        <f t="shared" si="43"/>
        <v>0.76931035352898125</v>
      </c>
      <c r="Y174" s="53">
        <f t="shared" si="44"/>
        <v>39629</v>
      </c>
      <c r="Z174" s="62">
        <f t="shared" si="45"/>
        <v>1</v>
      </c>
      <c r="AB174" s="62">
        <f t="shared" si="46"/>
        <v>9.7585546490130737E-2</v>
      </c>
      <c r="AC174" s="62">
        <f t="shared" si="41"/>
        <v>0.12601156069364161</v>
      </c>
      <c r="AD174" s="62">
        <f t="shared" si="42"/>
        <v>7.0592185238784369E-2</v>
      </c>
    </row>
    <row r="175" spans="1:30">
      <c r="A175"/>
      <c r="B175" s="86" t="s">
        <v>171</v>
      </c>
      <c r="C175" s="131">
        <f>'version consolidée hors UE'!AN178</f>
        <v>4</v>
      </c>
      <c r="D175" s="22">
        <f t="shared" si="40"/>
        <v>7.6219366960047713E-6</v>
      </c>
      <c r="E175" s="86">
        <f t="shared" si="21"/>
        <v>144</v>
      </c>
      <c r="R175" s="86" t="s">
        <v>171</v>
      </c>
      <c r="S175" s="53">
        <f>'version consolidée hors UE'!E178</f>
        <v>2</v>
      </c>
      <c r="T175" s="62">
        <f t="shared" si="22"/>
        <v>0.5</v>
      </c>
      <c r="U175" s="53">
        <f>'version consolidée hors UE'!L178</f>
        <v>0</v>
      </c>
      <c r="V175" s="62">
        <f t="shared" si="23"/>
        <v>0</v>
      </c>
      <c r="W175" s="53">
        <f>'version consolidée hors UE'!S178+'version consolidée hors UE'!AI178+'version consolidée hors UE'!AK178</f>
        <v>2</v>
      </c>
      <c r="X175" s="62">
        <f t="shared" si="43"/>
        <v>0.5</v>
      </c>
      <c r="Y175" s="53">
        <f t="shared" si="44"/>
        <v>4</v>
      </c>
      <c r="Z175" s="62">
        <f t="shared" si="45"/>
        <v>1</v>
      </c>
      <c r="AB175" s="62">
        <f t="shared" si="46"/>
        <v>2.2140793304624104E-5</v>
      </c>
      <c r="AC175" s="62">
        <f t="shared" si="41"/>
        <v>0</v>
      </c>
      <c r="AD175" s="62">
        <f t="shared" si="42"/>
        <v>4.6309696092619394E-6</v>
      </c>
    </row>
    <row r="176" spans="1:30">
      <c r="A176"/>
      <c r="B176" s="86" t="s">
        <v>145</v>
      </c>
      <c r="C176" s="131">
        <f>'version consolidée hors UE'!AN179</f>
        <v>34815</v>
      </c>
      <c r="D176" s="22">
        <f t="shared" si="40"/>
        <v>6.633943151785153E-2</v>
      </c>
      <c r="E176" s="86">
        <f t="shared" si="21"/>
        <v>4</v>
      </c>
      <c r="R176" s="86" t="s">
        <v>145</v>
      </c>
      <c r="S176" s="53">
        <f>'version consolidée hors UE'!E179</f>
        <v>9233</v>
      </c>
      <c r="T176" s="62">
        <f t="shared" si="22"/>
        <v>0.26520178084159129</v>
      </c>
      <c r="U176" s="53">
        <f>'version consolidée hors UE'!L179</f>
        <v>443</v>
      </c>
      <c r="V176" s="62">
        <f t="shared" si="23"/>
        <v>1.2724400402125521E-2</v>
      </c>
      <c r="W176" s="53">
        <f>'version consolidée hors UE'!S179+'version consolidée hors UE'!AI179+'version consolidée hors UE'!AK179</f>
        <v>25139</v>
      </c>
      <c r="X176" s="62">
        <f t="shared" si="43"/>
        <v>0.72207381875628318</v>
      </c>
      <c r="Y176" s="53">
        <f t="shared" si="44"/>
        <v>34815</v>
      </c>
      <c r="Z176" s="62">
        <f t="shared" si="45"/>
        <v>1</v>
      </c>
      <c r="AB176" s="62">
        <f t="shared" si="46"/>
        <v>0.10221297229079718</v>
      </c>
      <c r="AC176" s="62">
        <f t="shared" si="41"/>
        <v>0.17071290944123313</v>
      </c>
      <c r="AD176" s="62">
        <f t="shared" si="42"/>
        <v>5.8208972503617944E-2</v>
      </c>
    </row>
    <row r="177" spans="1:30">
      <c r="A177"/>
      <c r="B177" s="132" t="s">
        <v>324</v>
      </c>
      <c r="C177" s="131">
        <f>'version consolidée hors UE'!AN180</f>
        <v>0</v>
      </c>
      <c r="D177" s="22">
        <f t="shared" si="40"/>
        <v>0</v>
      </c>
      <c r="E177" s="86">
        <f t="shared" si="21"/>
        <v>168</v>
      </c>
      <c r="R177" s="132" t="s">
        <v>324</v>
      </c>
      <c r="S177" s="53">
        <f>'version consolidée hors UE'!E180</f>
        <v>0</v>
      </c>
      <c r="T177" s="62" t="e">
        <f t="shared" si="22"/>
        <v>#DIV/0!</v>
      </c>
      <c r="U177" s="53">
        <f>'version consolidée hors UE'!L180</f>
        <v>0</v>
      </c>
      <c r="V177" s="62" t="e">
        <f t="shared" si="23"/>
        <v>#DIV/0!</v>
      </c>
      <c r="W177" s="53">
        <f>'version consolidée hors UE'!S180+'version consolidée hors UE'!AI180+'version consolidée hors UE'!AK180</f>
        <v>0</v>
      </c>
      <c r="X177" s="62" t="e">
        <f t="shared" si="43"/>
        <v>#DIV/0!</v>
      </c>
      <c r="Y177" s="53">
        <f t="shared" si="44"/>
        <v>0</v>
      </c>
      <c r="Z177" s="62" t="e">
        <f t="shared" si="45"/>
        <v>#DIV/0!</v>
      </c>
      <c r="AB177" s="62">
        <f t="shared" si="46"/>
        <v>0</v>
      </c>
      <c r="AC177" s="62">
        <f t="shared" si="41"/>
        <v>0</v>
      </c>
      <c r="AD177" s="62">
        <f t="shared" si="42"/>
        <v>0</v>
      </c>
    </row>
    <row r="178" spans="1:30">
      <c r="A178"/>
      <c r="B178" s="86" t="s">
        <v>146</v>
      </c>
      <c r="C178" s="131">
        <f>'version consolidée hors UE'!AN181</f>
        <v>80</v>
      </c>
      <c r="D178" s="22">
        <f t="shared" si="40"/>
        <v>1.5243873392009543E-4</v>
      </c>
      <c r="E178" s="86">
        <f t="shared" si="21"/>
        <v>77</v>
      </c>
      <c r="R178" s="86" t="s">
        <v>146</v>
      </c>
      <c r="S178" s="53">
        <f>'version consolidée hors UE'!E181</f>
        <v>45</v>
      </c>
      <c r="T178" s="62">
        <f t="shared" si="22"/>
        <v>0.5625</v>
      </c>
      <c r="U178" s="53">
        <f>'version consolidée hors UE'!L181</f>
        <v>0</v>
      </c>
      <c r="V178" s="62">
        <f t="shared" si="23"/>
        <v>0</v>
      </c>
      <c r="W178" s="53">
        <f>'version consolidée hors UE'!S181+'version consolidée hors UE'!AI181+'version consolidée hors UE'!AK181</f>
        <v>35</v>
      </c>
      <c r="X178" s="62">
        <f t="shared" si="43"/>
        <v>0.4375</v>
      </c>
      <c r="Y178" s="53">
        <f t="shared" si="44"/>
        <v>80</v>
      </c>
      <c r="Z178" s="62">
        <f t="shared" si="45"/>
        <v>1</v>
      </c>
      <c r="AB178" s="62">
        <f t="shared" si="46"/>
        <v>4.9816784935404238E-4</v>
      </c>
      <c r="AC178" s="62">
        <f t="shared" si="41"/>
        <v>0</v>
      </c>
      <c r="AD178" s="62">
        <f t="shared" si="42"/>
        <v>8.1041968162083936E-5</v>
      </c>
    </row>
    <row r="179" spans="1:30">
      <c r="A179"/>
      <c r="B179" s="86" t="s">
        <v>147</v>
      </c>
      <c r="C179" s="131">
        <f>'version consolidée hors UE'!AN182</f>
        <v>122</v>
      </c>
      <c r="D179" s="22">
        <f t="shared" si="40"/>
        <v>2.3246906922814553E-4</v>
      </c>
      <c r="E179" s="86">
        <f t="shared" si="21"/>
        <v>70</v>
      </c>
      <c r="R179" s="86" t="s">
        <v>147</v>
      </c>
      <c r="S179" s="53">
        <f>'version consolidée hors UE'!E182</f>
        <v>62</v>
      </c>
      <c r="T179" s="62">
        <f t="shared" si="22"/>
        <v>0.50819672131147542</v>
      </c>
      <c r="U179" s="53">
        <f>'version consolidée hors UE'!L182</f>
        <v>0</v>
      </c>
      <c r="V179" s="62">
        <f t="shared" si="23"/>
        <v>0</v>
      </c>
      <c r="W179" s="53">
        <f>'version consolidée hors UE'!S182+'version consolidée hors UE'!AI182+'version consolidée hors UE'!AK182</f>
        <v>60</v>
      </c>
      <c r="X179" s="62">
        <f t="shared" si="43"/>
        <v>0.49180327868852458</v>
      </c>
      <c r="Y179" s="53">
        <f t="shared" si="44"/>
        <v>122</v>
      </c>
      <c r="Z179" s="62">
        <f t="shared" si="45"/>
        <v>1</v>
      </c>
      <c r="AB179" s="62">
        <f t="shared" si="46"/>
        <v>6.8636459244334727E-4</v>
      </c>
      <c r="AC179" s="62">
        <f t="shared" si="41"/>
        <v>0</v>
      </c>
      <c r="AD179" s="62">
        <f t="shared" si="42"/>
        <v>1.3892908827785818E-4</v>
      </c>
    </row>
    <row r="180" spans="1:30">
      <c r="A180"/>
      <c r="B180" s="132" t="s">
        <v>325</v>
      </c>
      <c r="C180" s="131">
        <f>'version consolidée hors UE'!AN183</f>
        <v>85</v>
      </c>
      <c r="D180" s="22">
        <f t="shared" si="40"/>
        <v>1.6196615479010138E-4</v>
      </c>
      <c r="E180" s="86">
        <f t="shared" si="21"/>
        <v>75</v>
      </c>
      <c r="R180" s="132" t="s">
        <v>325</v>
      </c>
      <c r="S180" s="53">
        <f>'version consolidée hors UE'!E183</f>
        <v>13</v>
      </c>
      <c r="T180" s="62">
        <f t="shared" si="22"/>
        <v>0.15294117647058825</v>
      </c>
      <c r="U180" s="53">
        <f>'version consolidée hors UE'!L183</f>
        <v>0</v>
      </c>
      <c r="V180" s="62">
        <f t="shared" si="23"/>
        <v>0</v>
      </c>
      <c r="W180" s="53">
        <f>'version consolidée hors UE'!S183+'version consolidée hors UE'!AI183+'version consolidée hors UE'!AK183</f>
        <v>72</v>
      </c>
      <c r="X180" s="62">
        <f t="shared" si="43"/>
        <v>0.84705882352941175</v>
      </c>
      <c r="Y180" s="53">
        <f t="shared" si="44"/>
        <v>85</v>
      </c>
      <c r="Z180" s="62">
        <f t="shared" si="45"/>
        <v>1</v>
      </c>
      <c r="AB180" s="62">
        <f t="shared" si="46"/>
        <v>1.4391515648005669E-4</v>
      </c>
      <c r="AC180" s="62">
        <f t="shared" si="41"/>
        <v>0</v>
      </c>
      <c r="AD180" s="62">
        <f t="shared" si="42"/>
        <v>1.667149059334298E-4</v>
      </c>
    </row>
    <row r="181" spans="1:30">
      <c r="A181"/>
      <c r="B181" s="132" t="s">
        <v>326</v>
      </c>
      <c r="C181" s="131">
        <f>'version consolidée hors UE'!AN184</f>
        <v>2</v>
      </c>
      <c r="D181" s="22">
        <f t="shared" si="40"/>
        <v>3.8109683480023856E-6</v>
      </c>
      <c r="E181" s="86">
        <f t="shared" si="21"/>
        <v>155</v>
      </c>
      <c r="R181" s="132" t="s">
        <v>326</v>
      </c>
      <c r="S181" s="53">
        <f>'version consolidée hors UE'!E184</f>
        <v>1</v>
      </c>
      <c r="T181" s="62">
        <f t="shared" si="22"/>
        <v>0.5</v>
      </c>
      <c r="U181" s="53">
        <f>'version consolidée hors UE'!L184</f>
        <v>0</v>
      </c>
      <c r="V181" s="62">
        <f t="shared" si="23"/>
        <v>0</v>
      </c>
      <c r="W181" s="53">
        <f>'version consolidée hors UE'!S184+'version consolidée hors UE'!AI184+'version consolidée hors UE'!AK184</f>
        <v>1</v>
      </c>
      <c r="X181" s="62">
        <f t="shared" si="43"/>
        <v>0.5</v>
      </c>
      <c r="Y181" s="53">
        <f t="shared" si="44"/>
        <v>2</v>
      </c>
      <c r="Z181" s="62">
        <f t="shared" si="45"/>
        <v>1</v>
      </c>
      <c r="AB181" s="62">
        <f t="shared" si="46"/>
        <v>1.1070396652312052E-5</v>
      </c>
      <c r="AC181" s="62">
        <f t="shared" si="41"/>
        <v>0</v>
      </c>
      <c r="AD181" s="62">
        <f t="shared" si="42"/>
        <v>2.3154848046309697E-6</v>
      </c>
    </row>
    <row r="182" spans="1:30">
      <c r="A182"/>
      <c r="B182" s="86" t="s">
        <v>172</v>
      </c>
      <c r="C182" s="131">
        <f>'version consolidée hors UE'!AN185</f>
        <v>56</v>
      </c>
      <c r="D182" s="22">
        <f t="shared" si="40"/>
        <v>1.067071137440668E-4</v>
      </c>
      <c r="E182" s="86">
        <f t="shared" si="21"/>
        <v>89</v>
      </c>
      <c r="R182" s="86" t="s">
        <v>172</v>
      </c>
      <c r="S182" s="53">
        <f>'version consolidée hors UE'!E185</f>
        <v>9</v>
      </c>
      <c r="T182" s="62">
        <f t="shared" si="22"/>
        <v>0.16071428571428573</v>
      </c>
      <c r="U182" s="53">
        <f>'version consolidée hors UE'!L185</f>
        <v>0</v>
      </c>
      <c r="V182" s="62">
        <f t="shared" si="23"/>
        <v>0</v>
      </c>
      <c r="W182" s="53">
        <f>'version consolidée hors UE'!S185+'version consolidée hors UE'!AI185+'version consolidée hors UE'!AK185</f>
        <v>47</v>
      </c>
      <c r="X182" s="62">
        <f t="shared" si="43"/>
        <v>0.8392857142857143</v>
      </c>
      <c r="Y182" s="53">
        <f t="shared" si="44"/>
        <v>56</v>
      </c>
      <c r="Z182" s="62">
        <f t="shared" si="45"/>
        <v>1</v>
      </c>
      <c r="AB182" s="62">
        <f t="shared" si="46"/>
        <v>9.9633569870808474E-5</v>
      </c>
      <c r="AC182" s="62">
        <f t="shared" si="41"/>
        <v>0</v>
      </c>
      <c r="AD182" s="62">
        <f t="shared" si="42"/>
        <v>1.0882778581765557E-4</v>
      </c>
    </row>
    <row r="183" spans="1:30">
      <c r="A183"/>
      <c r="B183" s="86" t="s">
        <v>148</v>
      </c>
      <c r="C183" s="131">
        <f>'version consolidée hors UE'!AN186</f>
        <v>1847</v>
      </c>
      <c r="D183" s="22">
        <f t="shared" si="40"/>
        <v>3.5194292693802032E-3</v>
      </c>
      <c r="E183" s="86">
        <f t="shared" si="21"/>
        <v>19</v>
      </c>
      <c r="R183" s="86" t="s">
        <v>148</v>
      </c>
      <c r="S183" s="53">
        <f>'version consolidée hors UE'!E186</f>
        <v>1401</v>
      </c>
      <c r="T183" s="62">
        <f t="shared" si="22"/>
        <v>0.75852734163508395</v>
      </c>
      <c r="U183" s="53">
        <f>'version consolidée hors UE'!L186</f>
        <v>1</v>
      </c>
      <c r="V183" s="62">
        <f t="shared" si="23"/>
        <v>5.4141851651326478E-4</v>
      </c>
      <c r="W183" s="53">
        <f>'version consolidée hors UE'!S186+'version consolidée hors UE'!AI186+'version consolidée hors UE'!AK186</f>
        <v>445</v>
      </c>
      <c r="X183" s="62">
        <f t="shared" si="43"/>
        <v>0.24093123984840281</v>
      </c>
      <c r="Y183" s="53">
        <f t="shared" si="44"/>
        <v>1847</v>
      </c>
      <c r="Z183" s="62">
        <f t="shared" si="45"/>
        <v>1</v>
      </c>
      <c r="AB183" s="62">
        <f t="shared" si="46"/>
        <v>1.5509625709889185E-2</v>
      </c>
      <c r="AC183" s="62">
        <f t="shared" si="41"/>
        <v>3.8535645472061658E-4</v>
      </c>
      <c r="AD183" s="62">
        <f t="shared" si="42"/>
        <v>1.0303907380607815E-3</v>
      </c>
    </row>
    <row r="184" spans="1:30">
      <c r="A184"/>
      <c r="B184" s="132" t="s">
        <v>327</v>
      </c>
      <c r="C184" s="131">
        <f>'version consolidée hors UE'!AN187</f>
        <v>4</v>
      </c>
      <c r="D184" s="22">
        <f t="shared" ref="D184:D187" si="47">C184/$C$190</f>
        <v>7.6219366960047713E-6</v>
      </c>
      <c r="E184" s="86">
        <f t="shared" si="21"/>
        <v>144</v>
      </c>
      <c r="R184" s="132" t="s">
        <v>327</v>
      </c>
      <c r="S184" s="53">
        <f>'version consolidée hors UE'!E187</f>
        <v>2</v>
      </c>
      <c r="T184" s="62">
        <f t="shared" si="22"/>
        <v>0.5</v>
      </c>
      <c r="U184" s="53">
        <f>'version consolidée hors UE'!L187</f>
        <v>0</v>
      </c>
      <c r="V184" s="62">
        <f>U184/Y184</f>
        <v>0</v>
      </c>
      <c r="W184" s="53">
        <f>'version consolidée hors UE'!S187+'version consolidée hors UE'!AI187+'version consolidée hors UE'!AK187</f>
        <v>2</v>
      </c>
      <c r="X184" s="62">
        <f t="shared" si="43"/>
        <v>0.5</v>
      </c>
      <c r="Y184" s="53">
        <f t="shared" si="44"/>
        <v>4</v>
      </c>
      <c r="Z184" s="62">
        <f t="shared" si="45"/>
        <v>1</v>
      </c>
      <c r="AB184" s="62">
        <f t="shared" ref="AB184:AB188" si="48">S184/$S$190</f>
        <v>2.2140793304624104E-5</v>
      </c>
      <c r="AC184" s="62">
        <f t="shared" ref="AC184:AC188" si="49">U184/$U$190</f>
        <v>0</v>
      </c>
      <c r="AD184" s="62">
        <f t="shared" ref="AD184:AD188" si="50">W184/$W$190</f>
        <v>4.6309696092619394E-6</v>
      </c>
    </row>
    <row r="185" spans="1:30">
      <c r="A185"/>
      <c r="B185" s="86" t="s">
        <v>173</v>
      </c>
      <c r="C185" s="131">
        <f>'version consolidée hors UE'!AN188</f>
        <v>0</v>
      </c>
      <c r="D185" s="22">
        <f t="shared" si="47"/>
        <v>0</v>
      </c>
      <c r="E185" s="86">
        <f t="shared" si="21"/>
        <v>168</v>
      </c>
      <c r="R185" s="86" t="s">
        <v>173</v>
      </c>
      <c r="S185" s="53">
        <f>'version consolidée hors UE'!E188</f>
        <v>0</v>
      </c>
      <c r="T185" s="62" t="e">
        <f t="shared" si="22"/>
        <v>#DIV/0!</v>
      </c>
      <c r="U185" s="53">
        <f>'version consolidée hors UE'!L188</f>
        <v>0</v>
      </c>
      <c r="V185" s="62" t="e">
        <f t="shared" ref="V185:V189" si="51">U185/Y185</f>
        <v>#DIV/0!</v>
      </c>
      <c r="W185" s="53">
        <f>'version consolidée hors UE'!S188+'version consolidée hors UE'!AI188+'version consolidée hors UE'!AK188</f>
        <v>0</v>
      </c>
      <c r="X185" s="62" t="e">
        <f t="shared" si="43"/>
        <v>#DIV/0!</v>
      </c>
      <c r="Y185" s="53">
        <f t="shared" si="44"/>
        <v>0</v>
      </c>
      <c r="Z185" s="62" t="e">
        <f t="shared" si="45"/>
        <v>#DIV/0!</v>
      </c>
      <c r="AB185" s="62">
        <f t="shared" si="48"/>
        <v>0</v>
      </c>
      <c r="AC185" s="62">
        <f t="shared" si="49"/>
        <v>0</v>
      </c>
      <c r="AD185" s="62">
        <f t="shared" si="50"/>
        <v>0</v>
      </c>
    </row>
    <row r="186" spans="1:30">
      <c r="A186"/>
      <c r="B186" s="86" t="s">
        <v>149</v>
      </c>
      <c r="C186" s="131">
        <f>'version consolidée hors UE'!AN189</f>
        <v>7</v>
      </c>
      <c r="D186" s="22">
        <f t="shared" si="47"/>
        <v>1.333838921800835E-5</v>
      </c>
      <c r="E186" s="86">
        <f t="shared" si="21"/>
        <v>133</v>
      </c>
      <c r="R186" s="86" t="s">
        <v>149</v>
      </c>
      <c r="S186" s="53">
        <f>'version consolidée hors UE'!E189</f>
        <v>3</v>
      </c>
      <c r="T186" s="62">
        <f t="shared" si="22"/>
        <v>0.42857142857142855</v>
      </c>
      <c r="U186" s="53">
        <f>'version consolidée hors UE'!L189</f>
        <v>0</v>
      </c>
      <c r="V186" s="62">
        <f t="shared" si="51"/>
        <v>0</v>
      </c>
      <c r="W186" s="53">
        <f>'version consolidée hors UE'!S189+'version consolidée hors UE'!AI189+'version consolidée hors UE'!AK189</f>
        <v>4</v>
      </c>
      <c r="X186" s="62">
        <f t="shared" si="43"/>
        <v>0.5714285714285714</v>
      </c>
      <c r="Y186" s="53">
        <f t="shared" si="44"/>
        <v>7</v>
      </c>
      <c r="Z186" s="62">
        <f t="shared" si="45"/>
        <v>1</v>
      </c>
      <c r="AB186" s="62">
        <f t="shared" si="48"/>
        <v>3.3211189956936158E-5</v>
      </c>
      <c r="AC186" s="62">
        <f t="shared" si="49"/>
        <v>0</v>
      </c>
      <c r="AD186" s="62">
        <f t="shared" si="50"/>
        <v>9.2619392185238788E-6</v>
      </c>
    </row>
    <row r="187" spans="1:30">
      <c r="A187"/>
      <c r="B187" s="86" t="s">
        <v>150</v>
      </c>
      <c r="C187" s="131">
        <f>'version consolidée hors UE'!AN190</f>
        <v>26</v>
      </c>
      <c r="D187" s="22">
        <f t="shared" si="47"/>
        <v>4.9542588524031017E-5</v>
      </c>
      <c r="E187" s="86">
        <f t="shared" si="21"/>
        <v>110</v>
      </c>
      <c r="R187" s="86" t="s">
        <v>150</v>
      </c>
      <c r="S187" s="53">
        <f>'version consolidée hors UE'!E190</f>
        <v>9</v>
      </c>
      <c r="T187" s="62">
        <f t="shared" si="22"/>
        <v>0.34615384615384615</v>
      </c>
      <c r="U187" s="53">
        <f>'version consolidée hors UE'!L190</f>
        <v>0</v>
      </c>
      <c r="V187" s="62">
        <f t="shared" si="51"/>
        <v>0</v>
      </c>
      <c r="W187" s="53">
        <f>'version consolidée hors UE'!S190+'version consolidée hors UE'!AI190+'version consolidée hors UE'!AK190</f>
        <v>17</v>
      </c>
      <c r="X187" s="62">
        <f t="shared" si="43"/>
        <v>0.65384615384615385</v>
      </c>
      <c r="Y187" s="53">
        <f t="shared" si="44"/>
        <v>26</v>
      </c>
      <c r="Z187" s="62">
        <f t="shared" si="45"/>
        <v>1</v>
      </c>
      <c r="AB187" s="62">
        <f t="shared" si="48"/>
        <v>9.9633569870808474E-5</v>
      </c>
      <c r="AC187" s="62">
        <f t="shared" si="49"/>
        <v>0</v>
      </c>
      <c r="AD187" s="62">
        <f t="shared" si="50"/>
        <v>3.9363241678726486E-5</v>
      </c>
    </row>
    <row r="188" spans="1:30">
      <c r="A188"/>
      <c r="B188" s="86" t="s">
        <v>205</v>
      </c>
      <c r="C188" s="131">
        <f>'version consolidée hors UE'!AN191</f>
        <v>3194</v>
      </c>
      <c r="D188" s="22">
        <f>C188/$C$190</f>
        <v>6.08611645175981E-3</v>
      </c>
      <c r="E188" s="86">
        <f t="shared" si="21"/>
        <v>12</v>
      </c>
      <c r="R188" s="86" t="s">
        <v>205</v>
      </c>
      <c r="S188" s="53">
        <f>'version consolidée hors UE'!E191</f>
        <v>3181</v>
      </c>
      <c r="T188" s="62">
        <f t="shared" si="22"/>
        <v>0.995929868503444</v>
      </c>
      <c r="U188" s="53">
        <f>'version consolidée hors UE'!L191</f>
        <v>7</v>
      </c>
      <c r="V188" s="62">
        <f t="shared" si="51"/>
        <v>2.1916092673763305E-3</v>
      </c>
      <c r="W188" s="53">
        <f>'version consolidée hors UE'!S191+'version consolidée hors UE'!AI191+'version consolidée hors UE'!AK191</f>
        <v>6</v>
      </c>
      <c r="X188" s="62">
        <f t="shared" si="43"/>
        <v>1.878522229179712E-3</v>
      </c>
      <c r="Y188" s="53">
        <f t="shared" si="44"/>
        <v>3194</v>
      </c>
      <c r="Z188" s="62">
        <f t="shared" si="45"/>
        <v>1</v>
      </c>
      <c r="AB188" s="62">
        <f t="shared" si="48"/>
        <v>3.5214931751004638E-2</v>
      </c>
      <c r="AC188" s="62">
        <f t="shared" si="49"/>
        <v>2.6974951830443161E-3</v>
      </c>
      <c r="AD188" s="62">
        <f t="shared" si="50"/>
        <v>1.3892908827785818E-5</v>
      </c>
    </row>
    <row r="189" spans="1:30">
      <c r="A189"/>
      <c r="B189" s="86" t="s">
        <v>189</v>
      </c>
      <c r="C189" s="131">
        <f>'version consolidée hors UE'!AN192</f>
        <v>180</v>
      </c>
      <c r="D189" s="22">
        <f>C189/$C$190</f>
        <v>3.4298715132021471E-4</v>
      </c>
      <c r="E189" s="86">
        <f t="shared" si="21"/>
        <v>61</v>
      </c>
      <c r="R189" s="86" t="s">
        <v>189</v>
      </c>
      <c r="S189" s="53">
        <f>'version consolidée hors UE'!E192</f>
        <v>69</v>
      </c>
      <c r="T189" s="62">
        <f t="shared" si="22"/>
        <v>0.38333333333333336</v>
      </c>
      <c r="U189" s="53">
        <f>'version consolidée hors UE'!L192</f>
        <v>10</v>
      </c>
      <c r="V189" s="62">
        <f t="shared" si="51"/>
        <v>5.5555555555555552E-2</v>
      </c>
      <c r="W189" s="53">
        <f>'version consolidée hors UE'!S192+'version consolidée hors UE'!AI192+'version consolidée hors UE'!AK192</f>
        <v>101</v>
      </c>
      <c r="X189" s="62">
        <f t="shared" si="43"/>
        <v>0.56111111111111112</v>
      </c>
      <c r="Y189" s="53">
        <f t="shared" si="44"/>
        <v>180</v>
      </c>
      <c r="Z189" s="62">
        <f t="shared" si="45"/>
        <v>1</v>
      </c>
      <c r="AB189" s="62">
        <f>S189/$S$190</f>
        <v>7.6385736900953165E-4</v>
      </c>
      <c r="AC189" s="62">
        <f>U189/$U$190</f>
        <v>3.8535645472061657E-3</v>
      </c>
      <c r="AD189" s="62">
        <f>W189/$W$190</f>
        <v>2.3386396526772792E-4</v>
      </c>
    </row>
    <row r="190" spans="1:30">
      <c r="A190"/>
      <c r="B190" s="10" t="s">
        <v>47</v>
      </c>
      <c r="C190" s="133">
        <f>SUM(C4:C189)</f>
        <v>524801</v>
      </c>
      <c r="D190" s="22">
        <f>C190/$C$190</f>
        <v>1</v>
      </c>
      <c r="E190" s="57"/>
      <c r="R190" s="10" t="s">
        <v>47</v>
      </c>
      <c r="S190" s="9">
        <f>SUM(S4:S189)</f>
        <v>90331</v>
      </c>
      <c r="T190" s="135">
        <f>S190/Y190</f>
        <v>0.17212429092170176</v>
      </c>
      <c r="U190" s="9">
        <f>SUM(U4:U189)</f>
        <v>2595</v>
      </c>
      <c r="V190" s="6">
        <f t="shared" ref="V190" si="52">U190/Y190</f>
        <v>4.9447314315330957E-3</v>
      </c>
      <c r="W190" s="9">
        <f>SUM(W4:W189)</f>
        <v>431875</v>
      </c>
      <c r="X190" s="6">
        <f>W190/Y190</f>
        <v>0.82293097764676515</v>
      </c>
      <c r="Y190" s="174">
        <f>IF(SUM(Y4:Y189)=S190+U190+W190,SUM(Y4:Y189),"Faux")</f>
        <v>524801</v>
      </c>
      <c r="Z190" s="134">
        <f t="shared" ref="Z190" si="53">T190+V190+X190</f>
        <v>1</v>
      </c>
    </row>
    <row r="191" spans="1:30">
      <c r="R191" s="40" t="s">
        <v>366</v>
      </c>
      <c r="Y191" s="173"/>
      <c r="Z191" s="63"/>
      <c r="AA191" s="63"/>
    </row>
    <row r="192" spans="1:30">
      <c r="B192" s="225" t="s">
        <v>348</v>
      </c>
      <c r="R192" s="90" t="s">
        <v>284</v>
      </c>
      <c r="Y192" s="27"/>
    </row>
    <row r="193" spans="2:18">
      <c r="B193" s="225" t="s">
        <v>349</v>
      </c>
    </row>
    <row r="194" spans="2:18">
      <c r="R194" s="225" t="s">
        <v>348</v>
      </c>
    </row>
    <row r="195" spans="2:18">
      <c r="R195" s="225" t="s">
        <v>349</v>
      </c>
    </row>
  </sheetData>
  <mergeCells count="5">
    <mergeCell ref="C3:D3"/>
    <mergeCell ref="S3:T3"/>
    <mergeCell ref="U3:V3"/>
    <mergeCell ref="W3:X3"/>
    <mergeCell ref="Y3:Z3"/>
  </mergeCells>
  <conditionalFormatting sqref="T191:T1048576 T1:T189">
    <cfRule type="colorScale" priority="2">
      <colorScale>
        <cfvo type="min" val="0"/>
        <cfvo type="max" val="0"/>
        <color rgb="FFFF7128"/>
        <color rgb="FFFFEF9C"/>
      </colorScale>
    </cfRule>
  </conditionalFormatting>
  <conditionalFormatting sqref="T4:T190">
    <cfRule type="colorScale" priority="1">
      <colorScale>
        <cfvo type="min" val="0"/>
        <cfvo type="percentile" val="50"/>
        <cfvo type="max" val="0"/>
        <color rgb="FFF8696B"/>
        <color rgb="FFFFEB84"/>
        <color rgb="FF63BE7B"/>
      </colorScale>
    </cfRule>
  </conditionalFormatting>
  <conditionalFormatting sqref="T4:T189">
    <cfRule type="colorScale" priority="59">
      <colorScale>
        <cfvo type="min" val="0"/>
        <cfvo type="percentile" val="50"/>
        <cfvo type="max" val="0"/>
        <color rgb="FFF8696B"/>
        <color rgb="FFFFEB84"/>
        <color rgb="FF63BE7B"/>
      </colorScale>
    </cfRule>
  </conditionalFormatting>
  <conditionalFormatting sqref="V4:V190">
    <cfRule type="colorScale" priority="61">
      <colorScale>
        <cfvo type="min" val="0"/>
        <cfvo type="percentile" val="50"/>
        <cfvo type="max" val="0"/>
        <color rgb="FFF8696B"/>
        <color rgb="FFFFEB84"/>
        <color rgb="FF63BE7B"/>
      </colorScale>
    </cfRule>
  </conditionalFormatting>
  <conditionalFormatting sqref="X4:X190">
    <cfRule type="colorScale" priority="63">
      <colorScale>
        <cfvo type="min" val="0"/>
        <cfvo type="percentile" val="50"/>
        <cfvo type="max" val="0"/>
        <color rgb="FFF8696B"/>
        <color rgb="FFFFEB84"/>
        <color rgb="FF63BE7B"/>
      </colorScale>
    </cfRule>
  </conditionalFormatting>
  <conditionalFormatting sqref="AB4:AB189">
    <cfRule type="top10" dxfId="5" priority="65" rank="5"/>
  </conditionalFormatting>
  <conditionalFormatting sqref="AC4:AC189">
    <cfRule type="top10" dxfId="4" priority="66" rank="5"/>
  </conditionalFormatting>
  <conditionalFormatting sqref="AD4:AD189">
    <cfRule type="top10" dxfId="3" priority="67" rank="5"/>
  </conditionalFormatting>
  <hyperlinks>
    <hyperlink ref="A1" location="ACCUEIL!A1" display="ACCUEIL"/>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13</vt:i4>
      </vt:variant>
    </vt:vector>
  </HeadingPairs>
  <TitlesOfParts>
    <vt:vector size="25" baseType="lpstr">
      <vt:lpstr>ACCUEIL</vt:lpstr>
      <vt:lpstr>version consolidée UE</vt:lpstr>
      <vt:lpstr>Tab. 4 et Graphs 9 &amp; 10</vt:lpstr>
      <vt:lpstr>Graphique 11</vt:lpstr>
      <vt:lpstr>Graphique 12</vt:lpstr>
      <vt:lpstr>Graphiques 13 &amp; 14</vt:lpstr>
      <vt:lpstr>version consolidée hors UE</vt:lpstr>
      <vt:lpstr>Carte 3-Mappemonde</vt:lpstr>
      <vt:lpstr>Graphique 15</vt:lpstr>
      <vt:lpstr>Graphique 16</vt:lpstr>
      <vt:lpstr>Graphiques 17 &amp; 18</vt:lpstr>
      <vt:lpstr>Consolidation UE_HorsUE</vt:lpstr>
      <vt:lpstr>Europe</vt:lpstr>
      <vt:lpstr>Europe_B</vt:lpstr>
      <vt:lpstr>Europe_D</vt:lpstr>
      <vt:lpstr>HorsEurope_D</vt:lpstr>
      <vt:lpstr>Maghreb</vt:lpstr>
      <vt:lpstr>OrganismesB</vt:lpstr>
      <vt:lpstr>OrganismesD</vt:lpstr>
      <vt:lpstr>Rang_Europe</vt:lpstr>
      <vt:lpstr>Rang_Europe_B</vt:lpstr>
      <vt:lpstr>Rang_Europe_D</vt:lpstr>
      <vt:lpstr>Rang_HorsEurope_B</vt:lpstr>
      <vt:lpstr>Rang_organismesB</vt:lpstr>
      <vt:lpstr>Rang_organismesD</vt:lpstr>
    </vt:vector>
  </TitlesOfParts>
  <Company>CLEISS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A.Leseurre</dc:creator>
  <cp:lastModifiedBy>Antonio Araujo</cp:lastModifiedBy>
  <cp:lastPrinted>2015-12-10T10:35:42Z</cp:lastPrinted>
  <dcterms:created xsi:type="dcterms:W3CDTF">2011-07-29T09:15:36Z</dcterms:created>
  <dcterms:modified xsi:type="dcterms:W3CDTF">2019-05-14T09:38:23Z</dcterms:modified>
</cp:coreProperties>
</file>