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400" yWindow="-15" windowWidth="14445" windowHeight="12795" tabRatio="922"/>
  </bookViews>
  <sheets>
    <sheet name="ACCUEIL &quot;Créances&quot;" sheetId="12" r:id="rId1"/>
    <sheet name="Cartes 1 &amp; 2" sheetId="14" r:id="rId2"/>
    <sheet name="Données règlements européens" sheetId="15" r:id="rId3"/>
    <sheet name="Graphique 1" sheetId="17" r:id="rId4"/>
    <sheet name="Graphique 2" sheetId="18" r:id="rId5"/>
    <sheet name="Graphiques 3 &amp; 4" sheetId="16" r:id="rId6"/>
    <sheet name="Données conventions bilatérales" sheetId="19" r:id="rId7"/>
    <sheet name="Graphique 5" sheetId="21" r:id="rId8"/>
    <sheet name="Graphique 6" sheetId="11" r:id="rId9"/>
    <sheet name="Graphiques 7 &amp; 8" sheetId="20" r:id="rId10"/>
  </sheets>
  <definedNames>
    <definedName name="Europe_B">'Graphique 1'!$B$4:$E$39</definedName>
    <definedName name="Europe_D">'Graphique 2'!$B$4:$E$39</definedName>
    <definedName name="HorsEurope_B">'Graphique 5'!$B$4:$E$31</definedName>
    <definedName name="HorsEurope_D">'Graphique 6'!$B$4:$E$31</definedName>
    <definedName name="Rang_Europe_B">'Graphique 1'!$E$4:$E$39</definedName>
    <definedName name="Rang_Europe_D">'Graphique 2'!$E$4:$E$39</definedName>
    <definedName name="Rang_HorsEurope_B">'Graphique 5'!$E$4:$E$31</definedName>
    <definedName name="Rang_HorsEurope_D">'Graphique 6'!$E$4:$E$31</definedName>
  </definedNames>
  <calcPr calcId="125725"/>
</workbook>
</file>

<file path=xl/calcChain.xml><?xml version="1.0" encoding="utf-8"?>
<calcChain xmlns="http://schemas.openxmlformats.org/spreadsheetml/2006/main">
  <c r="L55" i="11"/>
  <c r="L83"/>
  <c r="M39" i="14" l="1"/>
  <c r="M19"/>
  <c r="C23"/>
  <c r="F23"/>
  <c r="L49" i="21"/>
  <c r="N49"/>
  <c r="H49"/>
  <c r="E91" i="18"/>
  <c r="H87" i="17"/>
  <c r="K91" i="18"/>
  <c r="V7" i="14"/>
  <c r="F24"/>
  <c r="C24"/>
  <c r="F22"/>
  <c r="G23" l="1"/>
  <c r="C22" l="1"/>
  <c r="U16" i="16"/>
  <c r="S16"/>
  <c r="S11"/>
  <c r="S6"/>
  <c r="AI33" i="19" l="1"/>
  <c r="AI34"/>
  <c r="AE42" i="15"/>
  <c r="M77" i="21"/>
  <c r="N77"/>
  <c r="M83" i="11"/>
  <c r="P83"/>
  <c r="Q83"/>
  <c r="R83"/>
  <c r="G76" i="21"/>
  <c r="E76"/>
  <c r="E77" s="1"/>
  <c r="AJ6" i="19"/>
  <c r="AD34"/>
  <c r="AJ29"/>
  <c r="AI29"/>
  <c r="E6" i="20"/>
  <c r="Q82" i="11"/>
  <c r="P82"/>
  <c r="I82"/>
  <c r="L82" s="1"/>
  <c r="F82"/>
  <c r="F83" s="1"/>
  <c r="C83"/>
  <c r="C82"/>
  <c r="L76" i="21"/>
  <c r="L77"/>
  <c r="C76"/>
  <c r="C77" s="1"/>
  <c r="M76" l="1"/>
  <c r="I76"/>
  <c r="E82" i="11"/>
  <c r="H82"/>
  <c r="G82" s="1"/>
  <c r="K82"/>
  <c r="J82" s="1"/>
  <c r="AI36" i="19"/>
  <c r="AJ36"/>
  <c r="AH36"/>
  <c r="AH35"/>
  <c r="AG36"/>
  <c r="AF36"/>
  <c r="AG35"/>
  <c r="AF35"/>
  <c r="AE36"/>
  <c r="AD36"/>
  <c r="AE35"/>
  <c r="AD35"/>
  <c r="AC36"/>
  <c r="AB36"/>
  <c r="AC35"/>
  <c r="AB35"/>
  <c r="AA36"/>
  <c r="Z36"/>
  <c r="AA35"/>
  <c r="Z35"/>
  <c r="Y36"/>
  <c r="Y35"/>
  <c r="X35"/>
  <c r="X36"/>
  <c r="W36"/>
  <c r="V36"/>
  <c r="U36"/>
  <c r="T36"/>
  <c r="S36"/>
  <c r="W35"/>
  <c r="V35"/>
  <c r="U35"/>
  <c r="T35"/>
  <c r="S35"/>
  <c r="P36"/>
  <c r="O36"/>
  <c r="N36"/>
  <c r="M36"/>
  <c r="L36"/>
  <c r="P35"/>
  <c r="O35"/>
  <c r="N35"/>
  <c r="M35"/>
  <c r="L35"/>
  <c r="Q36"/>
  <c r="Q35"/>
  <c r="J36"/>
  <c r="J35"/>
  <c r="F35"/>
  <c r="G35"/>
  <c r="H35"/>
  <c r="I35"/>
  <c r="F36"/>
  <c r="G36"/>
  <c r="D36" s="1"/>
  <c r="H36"/>
  <c r="I36"/>
  <c r="E36"/>
  <c r="E35"/>
  <c r="C36"/>
  <c r="C35"/>
  <c r="D35"/>
  <c r="D33"/>
  <c r="K33"/>
  <c r="R33"/>
  <c r="C31" i="21"/>
  <c r="AH34" i="19"/>
  <c r="AG34"/>
  <c r="AF34"/>
  <c r="AE34"/>
  <c r="AC34"/>
  <c r="AB34"/>
  <c r="AA34"/>
  <c r="Z34"/>
  <c r="Y34"/>
  <c r="X34"/>
  <c r="S34"/>
  <c r="T34"/>
  <c r="U34"/>
  <c r="V34"/>
  <c r="W34"/>
  <c r="R34"/>
  <c r="Q34"/>
  <c r="L34"/>
  <c r="M34"/>
  <c r="N34"/>
  <c r="O34"/>
  <c r="P34"/>
  <c r="K34"/>
  <c r="J34"/>
  <c r="E34"/>
  <c r="F34"/>
  <c r="G34"/>
  <c r="H34"/>
  <c r="I34"/>
  <c r="D34"/>
  <c r="C34"/>
  <c r="H76" i="21" l="1"/>
  <c r="D76"/>
  <c r="F76"/>
  <c r="D82" i="11"/>
  <c r="M82" s="1"/>
  <c r="N82"/>
  <c r="AJ33" i="19"/>
  <c r="C31" i="11" s="1"/>
  <c r="J76" i="21" l="1"/>
  <c r="C81" i="16" l="1"/>
  <c r="V6"/>
  <c r="D58" i="18"/>
  <c r="AF9" i="15"/>
  <c r="AE9"/>
  <c r="D21" l="1"/>
  <c r="K21"/>
  <c r="R21"/>
  <c r="AE21"/>
  <c r="L9" i="14"/>
  <c r="D24" i="15"/>
  <c r="K24"/>
  <c r="R24"/>
  <c r="AE24"/>
  <c r="D29"/>
  <c r="K29"/>
  <c r="R29"/>
  <c r="AE29"/>
  <c r="AF24" l="1"/>
  <c r="AF21"/>
  <c r="AF29"/>
  <c r="AI6" i="19"/>
  <c r="AI38"/>
  <c r="K38"/>
  <c r="D38"/>
  <c r="R38"/>
  <c r="AJ38" s="1"/>
  <c r="D8" i="15"/>
  <c r="C50" i="21" l="1"/>
  <c r="E50"/>
  <c r="G50"/>
  <c r="C51"/>
  <c r="E51"/>
  <c r="G51"/>
  <c r="C52"/>
  <c r="E52"/>
  <c r="G52"/>
  <c r="C53"/>
  <c r="E53"/>
  <c r="G53"/>
  <c r="C54"/>
  <c r="E54"/>
  <c r="G54"/>
  <c r="C55"/>
  <c r="E55"/>
  <c r="G55"/>
  <c r="C56"/>
  <c r="E56"/>
  <c r="G56"/>
  <c r="C57"/>
  <c r="E57"/>
  <c r="G57"/>
  <c r="C58"/>
  <c r="E58"/>
  <c r="G58"/>
  <c r="C59"/>
  <c r="E59"/>
  <c r="G59"/>
  <c r="C60"/>
  <c r="E60"/>
  <c r="G60"/>
  <c r="C61"/>
  <c r="G61"/>
  <c r="C62"/>
  <c r="E62"/>
  <c r="G62"/>
  <c r="C63"/>
  <c r="E63"/>
  <c r="G63"/>
  <c r="C64"/>
  <c r="E64"/>
  <c r="G64"/>
  <c r="C65"/>
  <c r="E65"/>
  <c r="G65"/>
  <c r="C66"/>
  <c r="E66"/>
  <c r="G66"/>
  <c r="C67"/>
  <c r="E67"/>
  <c r="G67"/>
  <c r="C68"/>
  <c r="E68"/>
  <c r="G68"/>
  <c r="C69"/>
  <c r="E69"/>
  <c r="G69"/>
  <c r="C70"/>
  <c r="E70"/>
  <c r="G70"/>
  <c r="C71"/>
  <c r="E71"/>
  <c r="G71"/>
  <c r="C72"/>
  <c r="E72"/>
  <c r="G72"/>
  <c r="C73"/>
  <c r="G73"/>
  <c r="C74"/>
  <c r="E74"/>
  <c r="G74"/>
  <c r="C75"/>
  <c r="E75"/>
  <c r="G75"/>
  <c r="K6" i="19"/>
  <c r="I75" i="21" l="1"/>
  <c r="H75" s="1"/>
  <c r="I68"/>
  <c r="D68" s="1"/>
  <c r="I52"/>
  <c r="F52" s="1"/>
  <c r="I50"/>
  <c r="F50" s="1"/>
  <c r="I73"/>
  <c r="D73" s="1"/>
  <c r="I74"/>
  <c r="F74" s="1"/>
  <c r="I71"/>
  <c r="F71" s="1"/>
  <c r="I70"/>
  <c r="H70" s="1"/>
  <c r="I62"/>
  <c r="H62" s="1"/>
  <c r="I67"/>
  <c r="D67" s="1"/>
  <c r="I66"/>
  <c r="F66" s="1"/>
  <c r="I64"/>
  <c r="H64" s="1"/>
  <c r="I61"/>
  <c r="D61" s="1"/>
  <c r="D71"/>
  <c r="F70"/>
  <c r="I60"/>
  <c r="H60" s="1"/>
  <c r="I56"/>
  <c r="D56" s="1"/>
  <c r="I59"/>
  <c r="H59" s="1"/>
  <c r="I55"/>
  <c r="H55" s="1"/>
  <c r="I51"/>
  <c r="F51" s="1"/>
  <c r="D64"/>
  <c r="D50"/>
  <c r="I65"/>
  <c r="F65" s="1"/>
  <c r="I58"/>
  <c r="H58" s="1"/>
  <c r="I54"/>
  <c r="F54" s="1"/>
  <c r="I72"/>
  <c r="F72" s="1"/>
  <c r="D70"/>
  <c r="I63"/>
  <c r="F63" s="1"/>
  <c r="I57"/>
  <c r="D57" s="1"/>
  <c r="I53"/>
  <c r="F53" s="1"/>
  <c r="H50"/>
  <c r="I69"/>
  <c r="H69" s="1"/>
  <c r="D54"/>
  <c r="AI7" i="19"/>
  <c r="C5" i="21" s="1"/>
  <c r="AI8" i="19"/>
  <c r="C6" i="21" s="1"/>
  <c r="AI9" i="19"/>
  <c r="C7" i="21" s="1"/>
  <c r="AI10" i="19"/>
  <c r="C8" i="21" s="1"/>
  <c r="AI11" i="19"/>
  <c r="C9" i="21" s="1"/>
  <c r="AI12" i="19"/>
  <c r="C10" i="21" s="1"/>
  <c r="AI13" i="19"/>
  <c r="C11" i="21" s="1"/>
  <c r="AI14" i="19"/>
  <c r="C12" i="21" s="1"/>
  <c r="AI15" i="19"/>
  <c r="C13" i="21" s="1"/>
  <c r="AI16" i="19"/>
  <c r="C14" i="21" s="1"/>
  <c r="AI17" i="19"/>
  <c r="C15" i="21" s="1"/>
  <c r="AI18" i="19"/>
  <c r="C16" i="21" s="1"/>
  <c r="AI19" i="19"/>
  <c r="C17" i="21" s="1"/>
  <c r="AI20" i="19"/>
  <c r="C18" i="21" s="1"/>
  <c r="AI21" i="19"/>
  <c r="C19" i="21" s="1"/>
  <c r="AI22" i="19"/>
  <c r="C20" i="21" s="1"/>
  <c r="AI23" i="19"/>
  <c r="C21" i="21" s="1"/>
  <c r="AI24" i="19"/>
  <c r="C22" i="21" s="1"/>
  <c r="AI25" i="19"/>
  <c r="C23" i="21" s="1"/>
  <c r="AI26" i="19"/>
  <c r="C24" i="21" s="1"/>
  <c r="AI27" i="19"/>
  <c r="C25" i="21" s="1"/>
  <c r="AI28" i="19"/>
  <c r="C26" i="21" s="1"/>
  <c r="AI30" i="19"/>
  <c r="C28" i="21" s="1"/>
  <c r="AI31" i="19"/>
  <c r="C29" i="21" s="1"/>
  <c r="AI32" i="19"/>
  <c r="C30" i="21" s="1"/>
  <c r="C4"/>
  <c r="R7" i="19"/>
  <c r="I56" i="11" s="1"/>
  <c r="R8" i="19"/>
  <c r="I57" i="11" s="1"/>
  <c r="R9" i="19"/>
  <c r="I58" i="11" s="1"/>
  <c r="R10" i="19"/>
  <c r="I59" i="11" s="1"/>
  <c r="R11" i="19"/>
  <c r="I60" i="11" s="1"/>
  <c r="R12" i="19"/>
  <c r="I61" i="11" s="1"/>
  <c r="R13" i="19"/>
  <c r="I62" i="11" s="1"/>
  <c r="R14" i="19"/>
  <c r="I63" i="11" s="1"/>
  <c r="R15" i="19"/>
  <c r="I64" i="11" s="1"/>
  <c r="R16" i="19"/>
  <c r="I65" i="11" s="1"/>
  <c r="R17" i="19"/>
  <c r="I66" i="11" s="1"/>
  <c r="R18" i="19"/>
  <c r="I67" i="11" s="1"/>
  <c r="R19" i="19"/>
  <c r="I68" i="11" s="1"/>
  <c r="R20" i="19"/>
  <c r="I69" i="11" s="1"/>
  <c r="R21" i="19"/>
  <c r="I70" i="11" s="1"/>
  <c r="R22" i="19"/>
  <c r="I71" i="11" s="1"/>
  <c r="R23" i="19"/>
  <c r="I72" i="11" s="1"/>
  <c r="R24" i="19"/>
  <c r="I73" i="11" s="1"/>
  <c r="R25" i="19"/>
  <c r="I74" i="11" s="1"/>
  <c r="R26" i="19"/>
  <c r="R27"/>
  <c r="I76" i="11" s="1"/>
  <c r="R28" i="19"/>
  <c r="I77" i="11" s="1"/>
  <c r="R29" i="19"/>
  <c r="I78" i="11" s="1"/>
  <c r="R30" i="19"/>
  <c r="I79" i="11" s="1"/>
  <c r="R31" i="19"/>
  <c r="I80" i="11" s="1"/>
  <c r="R32" i="19"/>
  <c r="I81" i="11" s="1"/>
  <c r="K7" i="19"/>
  <c r="F56" i="11" s="1"/>
  <c r="K8" i="19"/>
  <c r="F57" i="11" s="1"/>
  <c r="K9" i="19"/>
  <c r="F58" i="11" s="1"/>
  <c r="K10" i="19"/>
  <c r="F59" i="11" s="1"/>
  <c r="K11" i="19"/>
  <c r="F60" i="11" s="1"/>
  <c r="K12" i="19"/>
  <c r="F61" i="11" s="1"/>
  <c r="K13" i="19"/>
  <c r="F62" i="11" s="1"/>
  <c r="K14" i="19"/>
  <c r="F63" i="11" s="1"/>
  <c r="K15" i="19"/>
  <c r="F64" i="11" s="1"/>
  <c r="K16" i="19"/>
  <c r="F65" i="11" s="1"/>
  <c r="K17" i="19"/>
  <c r="F66" i="11" s="1"/>
  <c r="K18" i="19"/>
  <c r="F67" i="11" s="1"/>
  <c r="K19" i="19"/>
  <c r="F68" i="11" s="1"/>
  <c r="K20" i="19"/>
  <c r="F69" i="11" s="1"/>
  <c r="K21" i="19"/>
  <c r="F70" i="11" s="1"/>
  <c r="K22" i="19"/>
  <c r="F71" i="11" s="1"/>
  <c r="K23" i="19"/>
  <c r="F72" i="11" s="1"/>
  <c r="K24" i="19"/>
  <c r="F73" i="11" s="1"/>
  <c r="K25" i="19"/>
  <c r="F74" i="11" s="1"/>
  <c r="K26" i="19"/>
  <c r="F75" i="11" s="1"/>
  <c r="K27" i="19"/>
  <c r="F76" i="11" s="1"/>
  <c r="K28" i="19"/>
  <c r="F77" i="11" s="1"/>
  <c r="K29" i="19"/>
  <c r="F78" i="11" s="1"/>
  <c r="K30" i="19"/>
  <c r="F79" i="11" s="1"/>
  <c r="K31" i="19"/>
  <c r="F80" i="11" s="1"/>
  <c r="K32" i="19"/>
  <c r="F81" i="11" s="1"/>
  <c r="D7" i="1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75" i="11" s="1"/>
  <c r="D27" i="19"/>
  <c r="D28"/>
  <c r="D29"/>
  <c r="D30"/>
  <c r="D31"/>
  <c r="D32"/>
  <c r="F75" i="21" l="1"/>
  <c r="D75"/>
  <c r="J75" s="1"/>
  <c r="C27"/>
  <c r="E17" s="1"/>
  <c r="AI35" i="19"/>
  <c r="F60" i="21"/>
  <c r="D60"/>
  <c r="H68"/>
  <c r="H51"/>
  <c r="H73"/>
  <c r="H61"/>
  <c r="F68"/>
  <c r="J68" s="1"/>
  <c r="D59"/>
  <c r="F56"/>
  <c r="H67"/>
  <c r="F67"/>
  <c r="J67" s="1"/>
  <c r="D74"/>
  <c r="H71"/>
  <c r="J71" s="1"/>
  <c r="H74"/>
  <c r="K35" i="19"/>
  <c r="D52" i="21"/>
  <c r="H52"/>
  <c r="J52" s="1"/>
  <c r="D55"/>
  <c r="J55" s="1"/>
  <c r="F55"/>
  <c r="H66"/>
  <c r="F64"/>
  <c r="J64" s="1"/>
  <c r="F58"/>
  <c r="F61"/>
  <c r="F73"/>
  <c r="K36" i="19"/>
  <c r="D62" i="21"/>
  <c r="F57"/>
  <c r="J70"/>
  <c r="H63"/>
  <c r="H56"/>
  <c r="J56" s="1"/>
  <c r="F59"/>
  <c r="D66"/>
  <c r="F62"/>
  <c r="H54"/>
  <c r="J54" s="1"/>
  <c r="E8"/>
  <c r="D51"/>
  <c r="J51" s="1"/>
  <c r="J50"/>
  <c r="E21"/>
  <c r="E6"/>
  <c r="H57"/>
  <c r="J73"/>
  <c r="AJ17" i="19"/>
  <c r="C15" i="11" s="1"/>
  <c r="C66"/>
  <c r="AJ30" i="19"/>
  <c r="C28" i="11" s="1"/>
  <c r="C79"/>
  <c r="C71"/>
  <c r="L71" s="1"/>
  <c r="AJ22" i="19"/>
  <c r="C20" i="11" s="1"/>
  <c r="C63"/>
  <c r="AJ14" i="19"/>
  <c r="C12" i="11" s="1"/>
  <c r="C80"/>
  <c r="AJ31" i="19"/>
  <c r="C29" i="11" s="1"/>
  <c r="AJ27" i="19"/>
  <c r="C25" i="11" s="1"/>
  <c r="C76"/>
  <c r="C72"/>
  <c r="AJ23" i="19"/>
  <c r="C21" i="11" s="1"/>
  <c r="AJ19" i="19"/>
  <c r="C17" i="11" s="1"/>
  <c r="C68"/>
  <c r="AJ15" i="19"/>
  <c r="C13" i="11" s="1"/>
  <c r="C64"/>
  <c r="C60"/>
  <c r="AJ11" i="19"/>
  <c r="C9" i="11" s="1"/>
  <c r="AJ7" i="19"/>
  <c r="C5" i="11" s="1"/>
  <c r="C56"/>
  <c r="L63"/>
  <c r="H63" s="1"/>
  <c r="G63" s="1"/>
  <c r="D58" i="21"/>
  <c r="D53"/>
  <c r="D63"/>
  <c r="D72"/>
  <c r="H53"/>
  <c r="C67" i="11"/>
  <c r="AJ18" i="19"/>
  <c r="C16" i="11" s="1"/>
  <c r="C59"/>
  <c r="AJ10" i="19"/>
  <c r="C8" i="11" s="1"/>
  <c r="AJ32" i="19"/>
  <c r="C30" i="11" s="1"/>
  <c r="C81"/>
  <c r="L81" s="1"/>
  <c r="K81" s="1"/>
  <c r="J81" s="1"/>
  <c r="C77"/>
  <c r="L77" s="1"/>
  <c r="AJ28" i="19"/>
  <c r="C26" i="11" s="1"/>
  <c r="AJ24" i="19"/>
  <c r="C73" i="11"/>
  <c r="C69"/>
  <c r="AJ20" i="19"/>
  <c r="C18" i="11" s="1"/>
  <c r="AJ16" i="19"/>
  <c r="C14" i="11" s="1"/>
  <c r="C65"/>
  <c r="AJ12" i="19"/>
  <c r="C10" i="11" s="1"/>
  <c r="C61"/>
  <c r="AJ8" i="19"/>
  <c r="C6" i="11" s="1"/>
  <c r="C57"/>
  <c r="H72" i="21"/>
  <c r="AJ25" i="19"/>
  <c r="C23" i="11" s="1"/>
  <c r="C74"/>
  <c r="L74" s="1"/>
  <c r="AJ13" i="19"/>
  <c r="C11" i="11" s="1"/>
  <c r="C62"/>
  <c r="L62" s="1"/>
  <c r="E5" i="21"/>
  <c r="C27" i="11"/>
  <c r="C78"/>
  <c r="AJ21" i="19"/>
  <c r="C19" i="11" s="1"/>
  <c r="C70"/>
  <c r="AJ9" i="19"/>
  <c r="C7" i="11" s="1"/>
  <c r="C58"/>
  <c r="D65" i="21"/>
  <c r="H65"/>
  <c r="R36" i="19"/>
  <c r="R35"/>
  <c r="I75" i="11"/>
  <c r="AJ26" i="19"/>
  <c r="E13" i="21"/>
  <c r="E20"/>
  <c r="E10"/>
  <c r="E25"/>
  <c r="F69"/>
  <c r="D69"/>
  <c r="E7" l="1"/>
  <c r="E16"/>
  <c r="E23"/>
  <c r="E14"/>
  <c r="E11"/>
  <c r="E4"/>
  <c r="C34" s="1"/>
  <c r="E22"/>
  <c r="E12"/>
  <c r="E27"/>
  <c r="E31"/>
  <c r="E9"/>
  <c r="E29"/>
  <c r="E26"/>
  <c r="E15"/>
  <c r="E18"/>
  <c r="E19"/>
  <c r="C32"/>
  <c r="E30"/>
  <c r="E28"/>
  <c r="E24"/>
  <c r="I6"/>
  <c r="D31"/>
  <c r="J58"/>
  <c r="J61"/>
  <c r="J60"/>
  <c r="J74"/>
  <c r="J59"/>
  <c r="J57"/>
  <c r="J66"/>
  <c r="J62"/>
  <c r="K63" i="11"/>
  <c r="J63" s="1"/>
  <c r="J69" i="21"/>
  <c r="J63"/>
  <c r="K71" i="11"/>
  <c r="J71" s="1"/>
  <c r="H71"/>
  <c r="G71" s="1"/>
  <c r="H62"/>
  <c r="G62" s="1"/>
  <c r="K62"/>
  <c r="J62" s="1"/>
  <c r="H77"/>
  <c r="G77" s="1"/>
  <c r="K77"/>
  <c r="J77" s="1"/>
  <c r="J53" i="21"/>
  <c r="H74" i="11"/>
  <c r="G74" s="1"/>
  <c r="K74"/>
  <c r="J74" s="1"/>
  <c r="L57"/>
  <c r="E57" s="1"/>
  <c r="L65"/>
  <c r="E65" s="1"/>
  <c r="L73"/>
  <c r="E73" s="1"/>
  <c r="E81"/>
  <c r="L56"/>
  <c r="E56" s="1"/>
  <c r="L64"/>
  <c r="L66"/>
  <c r="E66" s="1"/>
  <c r="E62"/>
  <c r="L69"/>
  <c r="E69" s="1"/>
  <c r="E77"/>
  <c r="L60"/>
  <c r="E63"/>
  <c r="L78"/>
  <c r="E78" s="1"/>
  <c r="D78" s="1"/>
  <c r="H81"/>
  <c r="G81" s="1"/>
  <c r="J72" i="21"/>
  <c r="L59" i="11"/>
  <c r="E59" s="1"/>
  <c r="L58"/>
  <c r="L70"/>
  <c r="L61"/>
  <c r="E61" s="1"/>
  <c r="L68"/>
  <c r="L76"/>
  <c r="E76" s="1"/>
  <c r="L79"/>
  <c r="E79" s="1"/>
  <c r="E74"/>
  <c r="C22"/>
  <c r="L72"/>
  <c r="E72" s="1"/>
  <c r="L80"/>
  <c r="E80" s="1"/>
  <c r="E71"/>
  <c r="J65" i="21"/>
  <c r="L67" i="11"/>
  <c r="E67" s="1"/>
  <c r="L75"/>
  <c r="C24"/>
  <c r="AE6" i="15"/>
  <c r="C4" i="17" s="1"/>
  <c r="C38" i="21" l="1"/>
  <c r="B34"/>
  <c r="C35"/>
  <c r="C36"/>
  <c r="D66" i="11"/>
  <c r="D57"/>
  <c r="D79"/>
  <c r="D61"/>
  <c r="K76"/>
  <c r="J76" s="1"/>
  <c r="H76"/>
  <c r="G76" s="1"/>
  <c r="H60"/>
  <c r="G60" s="1"/>
  <c r="K60"/>
  <c r="J60" s="1"/>
  <c r="K69"/>
  <c r="J69" s="1"/>
  <c r="H69"/>
  <c r="G69" s="1"/>
  <c r="E64"/>
  <c r="K64"/>
  <c r="J64" s="1"/>
  <c r="H64"/>
  <c r="G64" s="1"/>
  <c r="D81"/>
  <c r="M81" s="1"/>
  <c r="N81"/>
  <c r="D73"/>
  <c r="D71"/>
  <c r="M71" s="1"/>
  <c r="N71"/>
  <c r="D67"/>
  <c r="H58"/>
  <c r="G58" s="1"/>
  <c r="K58"/>
  <c r="J58" s="1"/>
  <c r="K80"/>
  <c r="J80" s="1"/>
  <c r="H80"/>
  <c r="G80" s="1"/>
  <c r="D72"/>
  <c r="K79"/>
  <c r="J79" s="1"/>
  <c r="H79"/>
  <c r="G79" s="1"/>
  <c r="D76"/>
  <c r="K61"/>
  <c r="J61" s="1"/>
  <c r="H61"/>
  <c r="G61" s="1"/>
  <c r="K70"/>
  <c r="J70" s="1"/>
  <c r="H70"/>
  <c r="G70" s="1"/>
  <c r="D59"/>
  <c r="K56"/>
  <c r="J56" s="1"/>
  <c r="H56"/>
  <c r="G56" s="1"/>
  <c r="K65"/>
  <c r="J65" s="1"/>
  <c r="H65"/>
  <c r="G65" s="1"/>
  <c r="H67"/>
  <c r="G67" s="1"/>
  <c r="K67"/>
  <c r="J67" s="1"/>
  <c r="K72"/>
  <c r="J72" s="1"/>
  <c r="H72"/>
  <c r="G72" s="1"/>
  <c r="H59"/>
  <c r="G59" s="1"/>
  <c r="K59"/>
  <c r="J59" s="1"/>
  <c r="D63"/>
  <c r="M63" s="1"/>
  <c r="N63"/>
  <c r="D62"/>
  <c r="M62" s="1"/>
  <c r="N62"/>
  <c r="K73"/>
  <c r="J73" s="1"/>
  <c r="H73"/>
  <c r="G73" s="1"/>
  <c r="E70"/>
  <c r="E60"/>
  <c r="D80"/>
  <c r="D74"/>
  <c r="M74" s="1"/>
  <c r="N74"/>
  <c r="E68"/>
  <c r="H68"/>
  <c r="G68" s="1"/>
  <c r="K68"/>
  <c r="J68" s="1"/>
  <c r="K78"/>
  <c r="J78" s="1"/>
  <c r="H78"/>
  <c r="D77"/>
  <c r="M77" s="1"/>
  <c r="N77"/>
  <c r="D69"/>
  <c r="H66"/>
  <c r="G66" s="1"/>
  <c r="K66"/>
  <c r="J66" s="1"/>
  <c r="D56"/>
  <c r="D65"/>
  <c r="K57"/>
  <c r="J57" s="1"/>
  <c r="H57"/>
  <c r="G57" s="1"/>
  <c r="E58"/>
  <c r="E75"/>
  <c r="H75"/>
  <c r="G75" s="1"/>
  <c r="K75"/>
  <c r="J75" s="1"/>
  <c r="M80" l="1"/>
  <c r="M76"/>
  <c r="N65"/>
  <c r="N79"/>
  <c r="M65"/>
  <c r="M69"/>
  <c r="N76"/>
  <c r="N72"/>
  <c r="M61"/>
  <c r="M72"/>
  <c r="N80"/>
  <c r="D60"/>
  <c r="M60" s="1"/>
  <c r="N60"/>
  <c r="D64"/>
  <c r="M64" s="1"/>
  <c r="N64"/>
  <c r="N78"/>
  <c r="G78"/>
  <c r="M78" s="1"/>
  <c r="D68"/>
  <c r="M68" s="1"/>
  <c r="N68"/>
  <c r="N56"/>
  <c r="N69"/>
  <c r="M59"/>
  <c r="N67"/>
  <c r="M73"/>
  <c r="N61"/>
  <c r="N57"/>
  <c r="M66"/>
  <c r="D58"/>
  <c r="M58" s="1"/>
  <c r="N58"/>
  <c r="M56"/>
  <c r="N59"/>
  <c r="M67"/>
  <c r="N73"/>
  <c r="M79"/>
  <c r="N66"/>
  <c r="D70"/>
  <c r="M70" s="1"/>
  <c r="N70"/>
  <c r="M57"/>
  <c r="D75"/>
  <c r="N75"/>
  <c r="AD43" i="15"/>
  <c r="AC43"/>
  <c r="AB43"/>
  <c r="AA43"/>
  <c r="Z43"/>
  <c r="Y43"/>
  <c r="X43"/>
  <c r="W43"/>
  <c r="V43"/>
  <c r="U43"/>
  <c r="T43"/>
  <c r="S43"/>
  <c r="Q43"/>
  <c r="P43"/>
  <c r="O43"/>
  <c r="N43"/>
  <c r="M43"/>
  <c r="L43"/>
  <c r="J43"/>
  <c r="F43"/>
  <c r="G43"/>
  <c r="H43"/>
  <c r="I43"/>
  <c r="E43"/>
  <c r="C43"/>
  <c r="M75" i="11" l="1"/>
  <c r="D43" i="15"/>
  <c r="K43"/>
  <c r="R43"/>
  <c r="E21" i="14" l="1"/>
  <c r="E8"/>
  <c r="R6" i="19" l="1"/>
  <c r="D6"/>
  <c r="R41" i="15"/>
  <c r="I90" i="18" s="1"/>
  <c r="R40" i="15"/>
  <c r="I89" i="18" s="1"/>
  <c r="R39" i="15"/>
  <c r="R38"/>
  <c r="R37"/>
  <c r="R36"/>
  <c r="I85" i="18" s="1"/>
  <c r="R35" i="15"/>
  <c r="I84" i="18" s="1"/>
  <c r="R34" i="15"/>
  <c r="R33"/>
  <c r="I82" i="18" s="1"/>
  <c r="R32" i="15"/>
  <c r="I81" i="18" s="1"/>
  <c r="R31" i="15"/>
  <c r="R30"/>
  <c r="R28"/>
  <c r="I77" i="18" s="1"/>
  <c r="R27" i="15"/>
  <c r="I76" i="18" s="1"/>
  <c r="R26" i="15"/>
  <c r="R25"/>
  <c r="I74" i="18" s="1"/>
  <c r="I73"/>
  <c r="R23" i="15"/>
  <c r="I72" i="18" s="1"/>
  <c r="R22" i="15"/>
  <c r="I71" i="18" s="1"/>
  <c r="R20" i="15"/>
  <c r="R19"/>
  <c r="I68" i="18" s="1"/>
  <c r="R18" i="15"/>
  <c r="I67" i="18" s="1"/>
  <c r="R17" i="15"/>
  <c r="I66" i="18" s="1"/>
  <c r="R16" i="15"/>
  <c r="R15"/>
  <c r="I64" i="18" s="1"/>
  <c r="R14" i="15"/>
  <c r="I63" i="18" s="1"/>
  <c r="R13" i="15"/>
  <c r="R12"/>
  <c r="I61" i="18" s="1"/>
  <c r="R11" i="15"/>
  <c r="I60" i="18" s="1"/>
  <c r="R10" i="15"/>
  <c r="R9"/>
  <c r="R8"/>
  <c r="I57" i="18" s="1"/>
  <c r="R7" i="15"/>
  <c r="I56" i="18" s="1"/>
  <c r="R6" i="15"/>
  <c r="I55" i="18" s="1"/>
  <c r="K41" i="15"/>
  <c r="K40"/>
  <c r="K39"/>
  <c r="K38"/>
  <c r="K37"/>
  <c r="K36"/>
  <c r="K35"/>
  <c r="K34"/>
  <c r="K33"/>
  <c r="K32"/>
  <c r="K31"/>
  <c r="K30"/>
  <c r="K28"/>
  <c r="K27"/>
  <c r="K26"/>
  <c r="K25"/>
  <c r="K23"/>
  <c r="K22"/>
  <c r="K20"/>
  <c r="K19"/>
  <c r="K18"/>
  <c r="K17"/>
  <c r="K16"/>
  <c r="K15"/>
  <c r="K14"/>
  <c r="K13"/>
  <c r="K12"/>
  <c r="K11"/>
  <c r="K10"/>
  <c r="K9"/>
  <c r="K8"/>
  <c r="AF8" s="1"/>
  <c r="C6" i="18" s="1"/>
  <c r="K7" i="15"/>
  <c r="K6"/>
  <c r="D7"/>
  <c r="D9"/>
  <c r="D10"/>
  <c r="D11"/>
  <c r="D12"/>
  <c r="D13"/>
  <c r="D14"/>
  <c r="D15"/>
  <c r="D16"/>
  <c r="D17"/>
  <c r="D18"/>
  <c r="D19"/>
  <c r="D20"/>
  <c r="D22"/>
  <c r="D23"/>
  <c r="C22" i="18"/>
  <c r="D25" i="15"/>
  <c r="D26"/>
  <c r="AF26" s="1"/>
  <c r="C24" i="18" s="1"/>
  <c r="D27" i="15"/>
  <c r="D28"/>
  <c r="D30"/>
  <c r="D31"/>
  <c r="D32"/>
  <c r="D33"/>
  <c r="D34"/>
  <c r="D35"/>
  <c r="D36"/>
  <c r="D37"/>
  <c r="D38"/>
  <c r="D39"/>
  <c r="D40"/>
  <c r="D41"/>
  <c r="D6"/>
  <c r="G49" i="21"/>
  <c r="G77" s="1"/>
  <c r="N76" s="1"/>
  <c r="I59" i="18"/>
  <c r="I65"/>
  <c r="I69"/>
  <c r="I75"/>
  <c r="I79"/>
  <c r="I80"/>
  <c r="I83"/>
  <c r="I87"/>
  <c r="I88"/>
  <c r="G52" i="17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51"/>
  <c r="C7"/>
  <c r="C27"/>
  <c r="AE34" i="15"/>
  <c r="C32" i="17" s="1"/>
  <c r="AD42" i="15"/>
  <c r="AF20" l="1"/>
  <c r="C18" i="18" s="1"/>
  <c r="AF16" i="15"/>
  <c r="C14" i="18" s="1"/>
  <c r="AF38" i="15"/>
  <c r="C36" i="18" s="1"/>
  <c r="AF34" i="15"/>
  <c r="C32" i="18" s="1"/>
  <c r="AF30" i="15"/>
  <c r="C28" i="18" s="1"/>
  <c r="AF12" i="15"/>
  <c r="C10" i="18" s="1"/>
  <c r="AF22" i="15"/>
  <c r="C20" i="18" s="1"/>
  <c r="AF40" i="15"/>
  <c r="C38" i="18" s="1"/>
  <c r="AF36" i="15"/>
  <c r="C34" i="18" s="1"/>
  <c r="AF32" i="15"/>
  <c r="C30" i="18" s="1"/>
  <c r="AF28" i="15"/>
  <c r="C26" i="18" s="1"/>
  <c r="AF7" i="15"/>
  <c r="C5" i="18" s="1"/>
  <c r="AF6" i="15"/>
  <c r="C4" i="18" s="1"/>
  <c r="AF18" i="15"/>
  <c r="C16" i="18" s="1"/>
  <c r="AF14" i="15"/>
  <c r="C12" i="18" s="1"/>
  <c r="AF10" i="15"/>
  <c r="C8" i="18" s="1"/>
  <c r="G87" i="17"/>
  <c r="AF41" i="15"/>
  <c r="C39" i="18" s="1"/>
  <c r="AF37" i="15"/>
  <c r="C35" i="18" s="1"/>
  <c r="AF33" i="15"/>
  <c r="C31" i="18" s="1"/>
  <c r="C27"/>
  <c r="AF25" i="15"/>
  <c r="C23" i="18" s="1"/>
  <c r="C19"/>
  <c r="AF17" i="15"/>
  <c r="C15" i="18" s="1"/>
  <c r="AF13" i="15"/>
  <c r="C11" i="18" s="1"/>
  <c r="C7"/>
  <c r="AF39" i="15"/>
  <c r="C37" i="18" s="1"/>
  <c r="AF35" i="15"/>
  <c r="C33" i="18" s="1"/>
  <c r="AF31" i="15"/>
  <c r="C29" i="18" s="1"/>
  <c r="AF27" i="15"/>
  <c r="C25" i="18" s="1"/>
  <c r="AF23" i="15"/>
  <c r="C21" i="18" s="1"/>
  <c r="AF19" i="15"/>
  <c r="C17" i="18" s="1"/>
  <c r="AF15" i="15"/>
  <c r="C13" i="18" s="1"/>
  <c r="AF11" i="15"/>
  <c r="C9" i="18" s="1"/>
  <c r="I55" i="11"/>
  <c r="I83" s="1"/>
  <c r="I58" i="18"/>
  <c r="R42" i="15"/>
  <c r="K42"/>
  <c r="D42"/>
  <c r="I86" i="18"/>
  <c r="I78"/>
  <c r="I70"/>
  <c r="I62"/>
  <c r="R82" i="11" l="1"/>
  <c r="AJ35" i="19"/>
  <c r="AJ34" s="1"/>
  <c r="AF43" i="15"/>
  <c r="I91" i="18"/>
  <c r="R72" s="1"/>
  <c r="C40"/>
  <c r="H6" s="1"/>
  <c r="E28"/>
  <c r="C4" i="11"/>
  <c r="R58"/>
  <c r="R62"/>
  <c r="R66"/>
  <c r="R70"/>
  <c r="R74"/>
  <c r="R77"/>
  <c r="R81"/>
  <c r="R60"/>
  <c r="R64"/>
  <c r="R68"/>
  <c r="R69"/>
  <c r="R80"/>
  <c r="R59"/>
  <c r="R63"/>
  <c r="R67"/>
  <c r="R71"/>
  <c r="R78"/>
  <c r="R56"/>
  <c r="R72"/>
  <c r="R79"/>
  <c r="R76"/>
  <c r="R55"/>
  <c r="R57"/>
  <c r="R61"/>
  <c r="R65"/>
  <c r="R73"/>
  <c r="R75"/>
  <c r="D6" i="21"/>
  <c r="D10"/>
  <c r="D14"/>
  <c r="D18"/>
  <c r="D22"/>
  <c r="D25"/>
  <c r="D29"/>
  <c r="D12"/>
  <c r="D16"/>
  <c r="D20"/>
  <c r="D24"/>
  <c r="D27"/>
  <c r="D8"/>
  <c r="D30"/>
  <c r="D28"/>
  <c r="D13"/>
  <c r="D19"/>
  <c r="D7"/>
  <c r="D17"/>
  <c r="D26"/>
  <c r="D11"/>
  <c r="D15"/>
  <c r="D21"/>
  <c r="D5"/>
  <c r="D23"/>
  <c r="D9"/>
  <c r="G22" i="14"/>
  <c r="D19"/>
  <c r="I21"/>
  <c r="H21"/>
  <c r="I20"/>
  <c r="H20"/>
  <c r="E20"/>
  <c r="I19"/>
  <c r="H19"/>
  <c r="E19"/>
  <c r="I18"/>
  <c r="H18"/>
  <c r="G18"/>
  <c r="E18"/>
  <c r="I17"/>
  <c r="H17"/>
  <c r="G17"/>
  <c r="E17"/>
  <c r="I16"/>
  <c r="H16"/>
  <c r="G16"/>
  <c r="E16"/>
  <c r="I15"/>
  <c r="H15"/>
  <c r="G15"/>
  <c r="E15"/>
  <c r="I14"/>
  <c r="H14"/>
  <c r="G14"/>
  <c r="E14"/>
  <c r="D14"/>
  <c r="I13"/>
  <c r="H13"/>
  <c r="G13"/>
  <c r="E13"/>
  <c r="I12"/>
  <c r="H12"/>
  <c r="G12"/>
  <c r="E12"/>
  <c r="I11"/>
  <c r="H11"/>
  <c r="G11"/>
  <c r="E11"/>
  <c r="I10"/>
  <c r="H10"/>
  <c r="G10"/>
  <c r="E10"/>
  <c r="I9"/>
  <c r="H9"/>
  <c r="G9"/>
  <c r="E9"/>
  <c r="I8"/>
  <c r="H8"/>
  <c r="G8"/>
  <c r="C32" i="11" l="1"/>
  <c r="D4" s="1"/>
  <c r="E31"/>
  <c r="E30"/>
  <c r="D10" i="14"/>
  <c r="E25" i="11"/>
  <c r="E22"/>
  <c r="E11"/>
  <c r="E20"/>
  <c r="E8"/>
  <c r="E10"/>
  <c r="E17"/>
  <c r="E26"/>
  <c r="E19"/>
  <c r="E7"/>
  <c r="E13"/>
  <c r="E6"/>
  <c r="E5"/>
  <c r="E14"/>
  <c r="E15"/>
  <c r="E24"/>
  <c r="E4"/>
  <c r="E12"/>
  <c r="E9"/>
  <c r="E18"/>
  <c r="E21"/>
  <c r="E29"/>
  <c r="E27"/>
  <c r="E16"/>
  <c r="E28"/>
  <c r="E23"/>
  <c r="D18" i="14"/>
  <c r="G19"/>
  <c r="O12" s="1"/>
  <c r="G20"/>
  <c r="G21"/>
  <c r="D12"/>
  <c r="D20"/>
  <c r="D16"/>
  <c r="D8"/>
  <c r="D9"/>
  <c r="D13"/>
  <c r="D17"/>
  <c r="D21"/>
  <c r="D11"/>
  <c r="D15"/>
  <c r="D22"/>
  <c r="I22"/>
  <c r="C36" i="11" l="1"/>
  <c r="D31"/>
  <c r="N12" i="14"/>
  <c r="L10"/>
  <c r="M12"/>
  <c r="D24" i="11"/>
  <c r="D10"/>
  <c r="D28"/>
  <c r="D12"/>
  <c r="D22"/>
  <c r="D30"/>
  <c r="D13"/>
  <c r="D18"/>
  <c r="D27"/>
  <c r="D5"/>
  <c r="D29"/>
  <c r="D14"/>
  <c r="D15"/>
  <c r="D6"/>
  <c r="D26"/>
  <c r="D16"/>
  <c r="D23"/>
  <c r="D20"/>
  <c r="D25"/>
  <c r="D11"/>
  <c r="D19"/>
  <c r="D7"/>
  <c r="H6"/>
  <c r="D17"/>
  <c r="D8"/>
  <c r="D9"/>
  <c r="D21"/>
  <c r="B36"/>
  <c r="L12" i="14"/>
  <c r="M9"/>
  <c r="M10" s="1"/>
  <c r="M11" s="1"/>
  <c r="O9"/>
  <c r="O10" s="1"/>
  <c r="O11" s="1"/>
  <c r="N9"/>
  <c r="N10" s="1"/>
  <c r="N11" s="1"/>
  <c r="F55" i="11"/>
  <c r="C55"/>
  <c r="D32" l="1"/>
  <c r="M13" i="14"/>
  <c r="O13"/>
  <c r="N13"/>
  <c r="L11"/>
  <c r="L13" s="1"/>
  <c r="E49" i="21"/>
  <c r="C49"/>
  <c r="F56" i="18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5"/>
  <c r="L55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52" i="17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51"/>
  <c r="AE27" i="15"/>
  <c r="C25" i="17" s="1"/>
  <c r="AE41" i="15"/>
  <c r="C39" i="17" s="1"/>
  <c r="K55" i="11" l="1"/>
  <c r="J55" s="1"/>
  <c r="J83" s="1"/>
  <c r="F91" i="18"/>
  <c r="Q89" s="1"/>
  <c r="E87" i="17"/>
  <c r="C87"/>
  <c r="L83" s="1"/>
  <c r="E55" i="11"/>
  <c r="D55" s="1"/>
  <c r="D83" s="1"/>
  <c r="P75"/>
  <c r="P81"/>
  <c r="P60"/>
  <c r="P61"/>
  <c r="P58"/>
  <c r="P65"/>
  <c r="P56"/>
  <c r="P66"/>
  <c r="P77"/>
  <c r="P68"/>
  <c r="P76"/>
  <c r="P74"/>
  <c r="P67"/>
  <c r="P71"/>
  <c r="P73"/>
  <c r="P64"/>
  <c r="P62"/>
  <c r="P69"/>
  <c r="P63"/>
  <c r="P72"/>
  <c r="P80"/>
  <c r="P79"/>
  <c r="P78"/>
  <c r="P57"/>
  <c r="P59"/>
  <c r="P70"/>
  <c r="H55"/>
  <c r="G55" s="1"/>
  <c r="G83" s="1"/>
  <c r="P55"/>
  <c r="L89" i="18"/>
  <c r="L90"/>
  <c r="L87"/>
  <c r="L88"/>
  <c r="I51" i="17"/>
  <c r="F51" s="1"/>
  <c r="I76"/>
  <c r="I74"/>
  <c r="D4" i="18"/>
  <c r="D38"/>
  <c r="D36"/>
  <c r="D34"/>
  <c r="D32"/>
  <c r="D30"/>
  <c r="D28"/>
  <c r="D26"/>
  <c r="D24"/>
  <c r="D22"/>
  <c r="D20"/>
  <c r="D18"/>
  <c r="D16"/>
  <c r="D14"/>
  <c r="D12"/>
  <c r="D10"/>
  <c r="D8"/>
  <c r="D6"/>
  <c r="E4"/>
  <c r="B42" s="1"/>
  <c r="D39"/>
  <c r="D37"/>
  <c r="D35"/>
  <c r="D33"/>
  <c r="D31"/>
  <c r="D29"/>
  <c r="D27"/>
  <c r="D25"/>
  <c r="D23"/>
  <c r="D21"/>
  <c r="D19"/>
  <c r="D17"/>
  <c r="D15"/>
  <c r="D13"/>
  <c r="D11"/>
  <c r="D9"/>
  <c r="D7"/>
  <c r="D5"/>
  <c r="C91"/>
  <c r="P78" s="1"/>
  <c r="I85" i="17"/>
  <c r="D85" s="1"/>
  <c r="I83"/>
  <c r="F83" s="1"/>
  <c r="I81"/>
  <c r="D81" s="1"/>
  <c r="I79"/>
  <c r="D79" s="1"/>
  <c r="I77"/>
  <c r="I75"/>
  <c r="D75" s="1"/>
  <c r="I73"/>
  <c r="D73" s="1"/>
  <c r="I71"/>
  <c r="H71" s="1"/>
  <c r="I69"/>
  <c r="F69" s="1"/>
  <c r="I67"/>
  <c r="D67" s="1"/>
  <c r="I65"/>
  <c r="F65" s="1"/>
  <c r="I63"/>
  <c r="F63" s="1"/>
  <c r="I61"/>
  <c r="F61" s="1"/>
  <c r="I59"/>
  <c r="D59" s="1"/>
  <c r="I57"/>
  <c r="F57" s="1"/>
  <c r="I55"/>
  <c r="H55" s="1"/>
  <c r="I53"/>
  <c r="F53" s="1"/>
  <c r="D83"/>
  <c r="I86"/>
  <c r="D86" s="1"/>
  <c r="I84"/>
  <c r="D84" s="1"/>
  <c r="I82"/>
  <c r="D82" s="1"/>
  <c r="I80"/>
  <c r="I78"/>
  <c r="I72"/>
  <c r="H72" s="1"/>
  <c r="I70"/>
  <c r="D70" s="1"/>
  <c r="I68"/>
  <c r="H68" s="1"/>
  <c r="I66"/>
  <c r="D66" s="1"/>
  <c r="I64"/>
  <c r="H64" s="1"/>
  <c r="I62"/>
  <c r="D62" s="1"/>
  <c r="I60"/>
  <c r="H60" s="1"/>
  <c r="I58"/>
  <c r="D58" s="1"/>
  <c r="I56"/>
  <c r="H56" s="1"/>
  <c r="I54"/>
  <c r="D54" s="1"/>
  <c r="I52"/>
  <c r="H52" s="1"/>
  <c r="F86"/>
  <c r="E83" i="11" l="1"/>
  <c r="H83"/>
  <c r="K83"/>
  <c r="P55" i="18"/>
  <c r="F82" i="17"/>
  <c r="I87"/>
  <c r="H59"/>
  <c r="L51"/>
  <c r="L50" i="21"/>
  <c r="L56"/>
  <c r="L55"/>
  <c r="L69"/>
  <c r="L57"/>
  <c r="L64"/>
  <c r="L54"/>
  <c r="L68"/>
  <c r="L60"/>
  <c r="L72"/>
  <c r="L51"/>
  <c r="L70"/>
  <c r="L61"/>
  <c r="L73"/>
  <c r="L71"/>
  <c r="L52"/>
  <c r="L65"/>
  <c r="L59"/>
  <c r="L63"/>
  <c r="L58"/>
  <c r="L75"/>
  <c r="L62"/>
  <c r="L74"/>
  <c r="L67"/>
  <c r="L53"/>
  <c r="L66"/>
  <c r="M55" i="11"/>
  <c r="K90" i="18"/>
  <c r="J90" s="1"/>
  <c r="E90"/>
  <c r="D90" s="1"/>
  <c r="H90"/>
  <c r="G90" s="1"/>
  <c r="E87"/>
  <c r="D87" s="1"/>
  <c r="K87"/>
  <c r="J87" s="1"/>
  <c r="H87"/>
  <c r="G87" s="1"/>
  <c r="E88"/>
  <c r="D88" s="1"/>
  <c r="H88"/>
  <c r="G88" s="1"/>
  <c r="K88"/>
  <c r="J88" s="1"/>
  <c r="K89"/>
  <c r="J89" s="1"/>
  <c r="H89"/>
  <c r="G89" s="1"/>
  <c r="E89"/>
  <c r="D89" s="1"/>
  <c r="D40"/>
  <c r="D51" i="17"/>
  <c r="H51"/>
  <c r="H83"/>
  <c r="J83" s="1"/>
  <c r="F79"/>
  <c r="H79"/>
  <c r="F76"/>
  <c r="H76"/>
  <c r="D76"/>
  <c r="F80"/>
  <c r="H80"/>
  <c r="H77"/>
  <c r="F77"/>
  <c r="D80"/>
  <c r="D77"/>
  <c r="H78"/>
  <c r="F78"/>
  <c r="F75"/>
  <c r="H75"/>
  <c r="D78"/>
  <c r="H74"/>
  <c r="F74"/>
  <c r="D74"/>
  <c r="F70"/>
  <c r="H73"/>
  <c r="F73"/>
  <c r="H67"/>
  <c r="F67"/>
  <c r="F66"/>
  <c r="L84"/>
  <c r="L78"/>
  <c r="L60"/>
  <c r="L54"/>
  <c r="L77"/>
  <c r="L67"/>
  <c r="L53"/>
  <c r="F54"/>
  <c r="F59"/>
  <c r="L62"/>
  <c r="L74"/>
  <c r="L65"/>
  <c r="L85"/>
  <c r="L72"/>
  <c r="L55"/>
  <c r="L75"/>
  <c r="L58"/>
  <c r="L82"/>
  <c r="L61"/>
  <c r="L81"/>
  <c r="L64"/>
  <c r="L71"/>
  <c r="L70"/>
  <c r="L69"/>
  <c r="L56"/>
  <c r="L80"/>
  <c r="L59"/>
  <c r="H81"/>
  <c r="F58"/>
  <c r="F81"/>
  <c r="H85"/>
  <c r="D57"/>
  <c r="F64"/>
  <c r="D65"/>
  <c r="F62"/>
  <c r="F85"/>
  <c r="D61"/>
  <c r="F84"/>
  <c r="D53"/>
  <c r="D69"/>
  <c r="H63"/>
  <c r="F56"/>
  <c r="F55"/>
  <c r="F71"/>
  <c r="D55"/>
  <c r="D63"/>
  <c r="D71"/>
  <c r="F72"/>
  <c r="H57"/>
  <c r="H65"/>
  <c r="F52"/>
  <c r="F60"/>
  <c r="F68"/>
  <c r="L66"/>
  <c r="L86"/>
  <c r="L57"/>
  <c r="L73"/>
  <c r="L52"/>
  <c r="L68"/>
  <c r="L76"/>
  <c r="L63"/>
  <c r="L79"/>
  <c r="H53"/>
  <c r="H61"/>
  <c r="H69"/>
  <c r="P59" i="18"/>
  <c r="P63"/>
  <c r="P67"/>
  <c r="P71"/>
  <c r="P75"/>
  <c r="P79"/>
  <c r="P83"/>
  <c r="P87"/>
  <c r="P58"/>
  <c r="P62"/>
  <c r="P66"/>
  <c r="P70"/>
  <c r="P74"/>
  <c r="P82"/>
  <c r="P86"/>
  <c r="P90"/>
  <c r="P57"/>
  <c r="P61"/>
  <c r="P65"/>
  <c r="P69"/>
  <c r="P73"/>
  <c r="P77"/>
  <c r="P81"/>
  <c r="P85"/>
  <c r="P89"/>
  <c r="P56"/>
  <c r="P60"/>
  <c r="P64"/>
  <c r="P68"/>
  <c r="P72"/>
  <c r="P76"/>
  <c r="P80"/>
  <c r="P84"/>
  <c r="P88"/>
  <c r="H54" i="17"/>
  <c r="H58"/>
  <c r="J58" s="1"/>
  <c r="H62"/>
  <c r="H66"/>
  <c r="H70"/>
  <c r="H84"/>
  <c r="D52"/>
  <c r="D56"/>
  <c r="D60"/>
  <c r="J60" s="1"/>
  <c r="D64"/>
  <c r="D68"/>
  <c r="D72"/>
  <c r="H82"/>
  <c r="H86"/>
  <c r="J86" s="1"/>
  <c r="N83" i="11" l="1"/>
  <c r="P91" i="18"/>
  <c r="L87" i="17"/>
  <c r="J84"/>
  <c r="J57"/>
  <c r="J59"/>
  <c r="J66"/>
  <c r="J67"/>
  <c r="J75"/>
  <c r="M88" i="18"/>
  <c r="M87"/>
  <c r="M90"/>
  <c r="M89"/>
  <c r="J71" i="17"/>
  <c r="J78"/>
  <c r="J76"/>
  <c r="J79"/>
  <c r="J82"/>
  <c r="J70"/>
  <c r="J51"/>
  <c r="N87" i="18"/>
  <c r="J85" i="17"/>
  <c r="J81"/>
  <c r="J64"/>
  <c r="J54"/>
  <c r="J65"/>
  <c r="J74"/>
  <c r="N90" i="18"/>
  <c r="N89"/>
  <c r="N88"/>
  <c r="J77" i="17"/>
  <c r="J73"/>
  <c r="J69"/>
  <c r="J55"/>
  <c r="J56"/>
  <c r="J53"/>
  <c r="J62"/>
  <c r="J68"/>
  <c r="J61"/>
  <c r="J63"/>
  <c r="J52"/>
  <c r="J80"/>
  <c r="J72"/>
  <c r="D6" i="20" l="1"/>
  <c r="Q6" s="1"/>
  <c r="C42" i="15"/>
  <c r="D6" i="16" s="1"/>
  <c r="AC42" i="15"/>
  <c r="AB42"/>
  <c r="M16" i="16" s="1"/>
  <c r="M21" s="1"/>
  <c r="AA42" i="15"/>
  <c r="Z42"/>
  <c r="Y42"/>
  <c r="X42"/>
  <c r="W42"/>
  <c r="F20" i="16" s="1"/>
  <c r="V42" i="15"/>
  <c r="F19" i="16" s="1"/>
  <c r="U42" i="15"/>
  <c r="F18" i="16" s="1"/>
  <c r="T42" i="15"/>
  <c r="F17" i="16" s="1"/>
  <c r="S42" i="15"/>
  <c r="Q42"/>
  <c r="P42"/>
  <c r="F15" i="16" s="1"/>
  <c r="O42" i="15"/>
  <c r="F14" i="16" s="1"/>
  <c r="N42" i="15"/>
  <c r="F13" i="16" s="1"/>
  <c r="M42" i="15"/>
  <c r="F12" i="16" s="1"/>
  <c r="L42" i="15"/>
  <c r="J42"/>
  <c r="I42"/>
  <c r="F10" i="16" s="1"/>
  <c r="H42" i="15"/>
  <c r="F9" i="16" s="1"/>
  <c r="G42" i="15"/>
  <c r="F8" i="16" s="1"/>
  <c r="F42" i="15"/>
  <c r="F7" i="16" s="1"/>
  <c r="E42" i="15"/>
  <c r="AE40"/>
  <c r="C38" i="17" s="1"/>
  <c r="AE39" i="15"/>
  <c r="C37" i="17" s="1"/>
  <c r="AE38" i="15"/>
  <c r="C36" i="17" s="1"/>
  <c r="AE37" i="15"/>
  <c r="C35" i="17" s="1"/>
  <c r="AE36" i="15"/>
  <c r="C34" i="17" s="1"/>
  <c r="AE35" i="15"/>
  <c r="C33" i="17" s="1"/>
  <c r="AE33" i="15"/>
  <c r="C31" i="17" s="1"/>
  <c r="AE32" i="15"/>
  <c r="C30" i="17" s="1"/>
  <c r="AE31" i="15"/>
  <c r="C29" i="17" s="1"/>
  <c r="AE30" i="15"/>
  <c r="C28" i="17" s="1"/>
  <c r="AE28" i="15"/>
  <c r="C26" i="17" s="1"/>
  <c r="AE26" i="15"/>
  <c r="C24" i="17" s="1"/>
  <c r="AE25" i="15"/>
  <c r="C23" i="17" s="1"/>
  <c r="C22"/>
  <c r="AE23" i="15"/>
  <c r="C21" i="17" s="1"/>
  <c r="AE22" i="15"/>
  <c r="C20" i="17" s="1"/>
  <c r="C19"/>
  <c r="AE20" i="15"/>
  <c r="C18" i="17" s="1"/>
  <c r="AE19" i="15"/>
  <c r="C17" i="17" s="1"/>
  <c r="AE18" i="15"/>
  <c r="C16" i="17" s="1"/>
  <c r="AE17" i="15"/>
  <c r="C15" i="17" s="1"/>
  <c r="AE16" i="15"/>
  <c r="C14" i="17" s="1"/>
  <c r="AE15" i="15"/>
  <c r="C13" i="17" s="1"/>
  <c r="AE14" i="15"/>
  <c r="C12" i="17" s="1"/>
  <c r="AE13" i="15"/>
  <c r="C11" i="17" s="1"/>
  <c r="AE12" i="15"/>
  <c r="C10" i="17" s="1"/>
  <c r="AE11" i="15"/>
  <c r="C9" i="17" s="1"/>
  <c r="AE10" i="15"/>
  <c r="AE8"/>
  <c r="C6" i="17" s="1"/>
  <c r="AE7" i="15"/>
  <c r="C5" i="17" s="1"/>
  <c r="N16" i="20"/>
  <c r="N21" s="1"/>
  <c r="M16"/>
  <c r="J16"/>
  <c r="F20"/>
  <c r="F19"/>
  <c r="F18"/>
  <c r="F17"/>
  <c r="D16"/>
  <c r="F15"/>
  <c r="F14"/>
  <c r="F13"/>
  <c r="F12"/>
  <c r="F11"/>
  <c r="D11"/>
  <c r="Q11" s="1"/>
  <c r="F10"/>
  <c r="F9"/>
  <c r="F8"/>
  <c r="F7"/>
  <c r="F6"/>
  <c r="F24" i="16" l="1"/>
  <c r="F22"/>
  <c r="F23"/>
  <c r="K16"/>
  <c r="J16"/>
  <c r="J21" s="1"/>
  <c r="L21" s="1"/>
  <c r="K16" i="20"/>
  <c r="K21" s="1"/>
  <c r="G11"/>
  <c r="S11" s="1"/>
  <c r="V11" s="1"/>
  <c r="N16" i="16"/>
  <c r="AF42" i="15"/>
  <c r="Q6" i="16"/>
  <c r="AE43" i="15"/>
  <c r="C8" i="17"/>
  <c r="E11" s="1"/>
  <c r="E13"/>
  <c r="E21"/>
  <c r="J21" i="20"/>
  <c r="O16"/>
  <c r="M21"/>
  <c r="O21" s="1"/>
  <c r="G6"/>
  <c r="Q16"/>
  <c r="Q21" s="1"/>
  <c r="F16"/>
  <c r="G16" s="1"/>
  <c r="F16" i="16"/>
  <c r="G16" s="1"/>
  <c r="F11"/>
  <c r="G11" s="1"/>
  <c r="D16"/>
  <c r="D11"/>
  <c r="F6"/>
  <c r="D21" i="20"/>
  <c r="L16" l="1"/>
  <c r="U8" i="14"/>
  <c r="E37" i="17"/>
  <c r="E28"/>
  <c r="E39"/>
  <c r="L16" i="16"/>
  <c r="K21"/>
  <c r="E31" i="17"/>
  <c r="E10"/>
  <c r="C40"/>
  <c r="D34" s="1"/>
  <c r="E23"/>
  <c r="E18"/>
  <c r="E7"/>
  <c r="O16" i="16"/>
  <c r="N21"/>
  <c r="O21" s="1"/>
  <c r="E32" i="17"/>
  <c r="Q16" i="16"/>
  <c r="I16"/>
  <c r="D21"/>
  <c r="E6" s="1"/>
  <c r="E27" i="17"/>
  <c r="E19"/>
  <c r="E36"/>
  <c r="E26"/>
  <c r="E17"/>
  <c r="E9"/>
  <c r="E6"/>
  <c r="E33"/>
  <c r="E22"/>
  <c r="E14"/>
  <c r="E25"/>
  <c r="E4"/>
  <c r="Q11" i="16"/>
  <c r="I11"/>
  <c r="G6"/>
  <c r="F21"/>
  <c r="E8" i="17"/>
  <c r="E34"/>
  <c r="E15"/>
  <c r="E30"/>
  <c r="E20"/>
  <c r="E12"/>
  <c r="D7"/>
  <c r="T7" i="14"/>
  <c r="E5" i="17"/>
  <c r="E38"/>
  <c r="E29"/>
  <c r="E35"/>
  <c r="E24"/>
  <c r="E16"/>
  <c r="I6" i="20"/>
  <c r="S6"/>
  <c r="V6" s="1"/>
  <c r="G21"/>
  <c r="I21" s="1"/>
  <c r="S16"/>
  <c r="U9" i="14" s="1"/>
  <c r="C33" i="20"/>
  <c r="R58" i="18"/>
  <c r="R62"/>
  <c r="R66"/>
  <c r="R70"/>
  <c r="R74"/>
  <c r="R78"/>
  <c r="R82"/>
  <c r="R86"/>
  <c r="R90"/>
  <c r="R57"/>
  <c r="R61"/>
  <c r="R65"/>
  <c r="R69"/>
  <c r="R73"/>
  <c r="R77"/>
  <c r="R81"/>
  <c r="R85"/>
  <c r="R89"/>
  <c r="R56"/>
  <c r="R60"/>
  <c r="R64"/>
  <c r="R68"/>
  <c r="R76"/>
  <c r="R80"/>
  <c r="R84"/>
  <c r="R88"/>
  <c r="R55"/>
  <c r="R59"/>
  <c r="R63"/>
  <c r="R67"/>
  <c r="R71"/>
  <c r="R75"/>
  <c r="R79"/>
  <c r="R83"/>
  <c r="R87"/>
  <c r="N77" i="17"/>
  <c r="N54"/>
  <c r="N58"/>
  <c r="N62"/>
  <c r="N66"/>
  <c r="N70"/>
  <c r="N75"/>
  <c r="N80"/>
  <c r="N84"/>
  <c r="N51"/>
  <c r="N53"/>
  <c r="N57"/>
  <c r="N61"/>
  <c r="N65"/>
  <c r="N69"/>
  <c r="N73"/>
  <c r="N83"/>
  <c r="N79"/>
  <c r="N52"/>
  <c r="N56"/>
  <c r="N60"/>
  <c r="N64"/>
  <c r="N68"/>
  <c r="N72"/>
  <c r="N78"/>
  <c r="N82"/>
  <c r="N86"/>
  <c r="N55"/>
  <c r="N59"/>
  <c r="N63"/>
  <c r="N67"/>
  <c r="N71"/>
  <c r="N81"/>
  <c r="N85"/>
  <c r="N74"/>
  <c r="N76"/>
  <c r="Q81" i="18"/>
  <c r="Q65"/>
  <c r="Q86"/>
  <c r="Q70"/>
  <c r="Q55"/>
  <c r="Q75"/>
  <c r="Q59"/>
  <c r="Q76"/>
  <c r="Q60"/>
  <c r="Q69"/>
  <c r="Q90"/>
  <c r="Q74"/>
  <c r="Q58"/>
  <c r="Q79"/>
  <c r="Q63"/>
  <c r="Q80"/>
  <c r="Q64"/>
  <c r="Q85"/>
  <c r="Q73"/>
  <c r="Q57"/>
  <c r="Q78"/>
  <c r="Q62"/>
  <c r="Q83"/>
  <c r="Q67"/>
  <c r="Q84"/>
  <c r="Q68"/>
  <c r="Q77"/>
  <c r="Q61"/>
  <c r="Q82"/>
  <c r="Q66"/>
  <c r="Q87"/>
  <c r="Q71"/>
  <c r="Q88"/>
  <c r="Q72"/>
  <c r="Q56"/>
  <c r="M76" i="17"/>
  <c r="M60"/>
  <c r="M81"/>
  <c r="M65"/>
  <c r="M74"/>
  <c r="M58"/>
  <c r="M71"/>
  <c r="M55"/>
  <c r="M80"/>
  <c r="M64"/>
  <c r="M85"/>
  <c r="M69"/>
  <c r="M53"/>
  <c r="M78"/>
  <c r="M62"/>
  <c r="M79"/>
  <c r="M59"/>
  <c r="M75"/>
  <c r="M84"/>
  <c r="M68"/>
  <c r="M52"/>
  <c r="M73"/>
  <c r="M57"/>
  <c r="M82"/>
  <c r="M66"/>
  <c r="M83"/>
  <c r="M63"/>
  <c r="M51"/>
  <c r="M72"/>
  <c r="M56"/>
  <c r="M77"/>
  <c r="M61"/>
  <c r="M86"/>
  <c r="M70"/>
  <c r="M54"/>
  <c r="M67"/>
  <c r="L48" i="21"/>
  <c r="M48"/>
  <c r="N48"/>
  <c r="B81" i="20"/>
  <c r="B82"/>
  <c r="B83"/>
  <c r="B84"/>
  <c r="P53" i="18"/>
  <c r="Q53"/>
  <c r="R53"/>
  <c r="L50" i="17"/>
  <c r="M50"/>
  <c r="N50"/>
  <c r="Q91" i="18" l="1"/>
  <c r="M87" i="17"/>
  <c r="D12"/>
  <c r="D25"/>
  <c r="D13"/>
  <c r="D35"/>
  <c r="D18"/>
  <c r="D26"/>
  <c r="D19"/>
  <c r="D36"/>
  <c r="D6"/>
  <c r="D5"/>
  <c r="D15"/>
  <c r="D32"/>
  <c r="H6"/>
  <c r="D24"/>
  <c r="D8"/>
  <c r="D10"/>
  <c r="D23"/>
  <c r="D9"/>
  <c r="Q21" i="16"/>
  <c r="C33" s="1"/>
  <c r="D11" i="17"/>
  <c r="D30"/>
  <c r="D4"/>
  <c r="D39"/>
  <c r="D16"/>
  <c r="D38"/>
  <c r="D37"/>
  <c r="D31"/>
  <c r="D33"/>
  <c r="D22"/>
  <c r="D20"/>
  <c r="D27"/>
  <c r="D29"/>
  <c r="D28"/>
  <c r="D21"/>
  <c r="D14"/>
  <c r="D17"/>
  <c r="R91" i="18"/>
  <c r="T9" i="14"/>
  <c r="V9" s="1"/>
  <c r="V16" i="16"/>
  <c r="C82" s="1"/>
  <c r="N87" i="17"/>
  <c r="C42"/>
  <c r="V11" i="16"/>
  <c r="C83" s="1"/>
  <c r="T8" i="14"/>
  <c r="V8" s="1"/>
  <c r="G21" i="16"/>
  <c r="I6"/>
  <c r="B42" i="17"/>
  <c r="S21" i="20"/>
  <c r="C32" s="1"/>
  <c r="V16"/>
  <c r="D87" i="17"/>
  <c r="F87"/>
  <c r="F24" i="20"/>
  <c r="I49" i="21"/>
  <c r="I77" s="1"/>
  <c r="F25" i="16"/>
  <c r="E16"/>
  <c r="L85" i="18"/>
  <c r="L83"/>
  <c r="L81"/>
  <c r="L79"/>
  <c r="L77"/>
  <c r="L75"/>
  <c r="L73"/>
  <c r="L71"/>
  <c r="L69"/>
  <c r="L67"/>
  <c r="L65"/>
  <c r="L63"/>
  <c r="L61"/>
  <c r="L59"/>
  <c r="E11" i="20"/>
  <c r="L84" i="18"/>
  <c r="L82"/>
  <c r="L80"/>
  <c r="L78"/>
  <c r="L76"/>
  <c r="L74"/>
  <c r="L72"/>
  <c r="L70"/>
  <c r="L68"/>
  <c r="L66"/>
  <c r="L64"/>
  <c r="L62"/>
  <c r="L60"/>
  <c r="L58"/>
  <c r="L57"/>
  <c r="F21" i="20"/>
  <c r="L56" i="18"/>
  <c r="F22" i="20"/>
  <c r="F25"/>
  <c r="F23"/>
  <c r="D40" i="17" l="1"/>
  <c r="T10" i="14"/>
  <c r="H11" i="16"/>
  <c r="I21"/>
  <c r="H6"/>
  <c r="U7" i="14"/>
  <c r="S21" i="16"/>
  <c r="C84"/>
  <c r="D49" i="21"/>
  <c r="F49"/>
  <c r="M61"/>
  <c r="M73"/>
  <c r="M62"/>
  <c r="M74"/>
  <c r="M71"/>
  <c r="M70"/>
  <c r="M72"/>
  <c r="M64"/>
  <c r="M50"/>
  <c r="M56"/>
  <c r="M57"/>
  <c r="M65"/>
  <c r="M55"/>
  <c r="M66"/>
  <c r="M54"/>
  <c r="M67"/>
  <c r="M75"/>
  <c r="M52"/>
  <c r="M63"/>
  <c r="M51"/>
  <c r="M58"/>
  <c r="M69"/>
  <c r="M53"/>
  <c r="M60"/>
  <c r="M68"/>
  <c r="M59"/>
  <c r="M49"/>
  <c r="V21" i="20"/>
  <c r="N52" i="21"/>
  <c r="N56"/>
  <c r="N60"/>
  <c r="N64"/>
  <c r="N68"/>
  <c r="N71"/>
  <c r="N75"/>
  <c r="D77"/>
  <c r="N53"/>
  <c r="N57"/>
  <c r="N61"/>
  <c r="N65"/>
  <c r="N72"/>
  <c r="N50"/>
  <c r="N54"/>
  <c r="N58"/>
  <c r="N62"/>
  <c r="N66"/>
  <c r="N73"/>
  <c r="N51"/>
  <c r="N55"/>
  <c r="N59"/>
  <c r="N63"/>
  <c r="N67"/>
  <c r="N70"/>
  <c r="N74"/>
  <c r="N69"/>
  <c r="I16" i="20"/>
  <c r="K58" i="18"/>
  <c r="J58" s="1"/>
  <c r="E58"/>
  <c r="H58"/>
  <c r="G58" s="1"/>
  <c r="K66"/>
  <c r="J66" s="1"/>
  <c r="E66"/>
  <c r="D66" s="1"/>
  <c r="H66"/>
  <c r="G66" s="1"/>
  <c r="K74"/>
  <c r="J74" s="1"/>
  <c r="E74"/>
  <c r="D74" s="1"/>
  <c r="H74"/>
  <c r="G74" s="1"/>
  <c r="K82"/>
  <c r="J82" s="1"/>
  <c r="E82"/>
  <c r="D82" s="1"/>
  <c r="H82"/>
  <c r="G82" s="1"/>
  <c r="E59"/>
  <c r="D59" s="1"/>
  <c r="K59"/>
  <c r="J59" s="1"/>
  <c r="H59"/>
  <c r="G59" s="1"/>
  <c r="E67"/>
  <c r="D67" s="1"/>
  <c r="K67"/>
  <c r="J67" s="1"/>
  <c r="H67"/>
  <c r="G67" s="1"/>
  <c r="E75"/>
  <c r="D75" s="1"/>
  <c r="K75"/>
  <c r="J75" s="1"/>
  <c r="H75"/>
  <c r="G75" s="1"/>
  <c r="E83"/>
  <c r="D83" s="1"/>
  <c r="K83"/>
  <c r="J83" s="1"/>
  <c r="H83"/>
  <c r="G83" s="1"/>
  <c r="E56"/>
  <c r="D56" s="1"/>
  <c r="H56"/>
  <c r="G56" s="1"/>
  <c r="K56"/>
  <c r="J56" s="1"/>
  <c r="K57"/>
  <c r="J57" s="1"/>
  <c r="H57"/>
  <c r="G57" s="1"/>
  <c r="E57"/>
  <c r="D57" s="1"/>
  <c r="E64"/>
  <c r="D64" s="1"/>
  <c r="H64"/>
  <c r="G64" s="1"/>
  <c r="K64"/>
  <c r="J64" s="1"/>
  <c r="E72"/>
  <c r="D72" s="1"/>
  <c r="H72"/>
  <c r="G72" s="1"/>
  <c r="K72"/>
  <c r="J72" s="1"/>
  <c r="E80"/>
  <c r="D80" s="1"/>
  <c r="H80"/>
  <c r="G80" s="1"/>
  <c r="K80"/>
  <c r="J80" s="1"/>
  <c r="K65"/>
  <c r="J65" s="1"/>
  <c r="H65"/>
  <c r="G65" s="1"/>
  <c r="E65"/>
  <c r="D65" s="1"/>
  <c r="K73"/>
  <c r="J73" s="1"/>
  <c r="H73"/>
  <c r="G73" s="1"/>
  <c r="E73"/>
  <c r="D73" s="1"/>
  <c r="K81"/>
  <c r="J81" s="1"/>
  <c r="H81"/>
  <c r="G81" s="1"/>
  <c r="E81"/>
  <c r="D81" s="1"/>
  <c r="E55"/>
  <c r="D55" s="1"/>
  <c r="H55"/>
  <c r="G55" s="1"/>
  <c r="K55"/>
  <c r="J55" s="1"/>
  <c r="K62"/>
  <c r="J62" s="1"/>
  <c r="E62"/>
  <c r="D62" s="1"/>
  <c r="H62"/>
  <c r="G62" s="1"/>
  <c r="K70"/>
  <c r="J70" s="1"/>
  <c r="E70"/>
  <c r="D70" s="1"/>
  <c r="H70"/>
  <c r="G70" s="1"/>
  <c r="K78"/>
  <c r="J78" s="1"/>
  <c r="E78"/>
  <c r="D78" s="1"/>
  <c r="H78"/>
  <c r="G78" s="1"/>
  <c r="E63"/>
  <c r="D63" s="1"/>
  <c r="K63"/>
  <c r="J63" s="1"/>
  <c r="H63"/>
  <c r="G63" s="1"/>
  <c r="E71"/>
  <c r="D71" s="1"/>
  <c r="K71"/>
  <c r="J71" s="1"/>
  <c r="H71"/>
  <c r="G71" s="1"/>
  <c r="E79"/>
  <c r="D79" s="1"/>
  <c r="K79"/>
  <c r="J79" s="1"/>
  <c r="H79"/>
  <c r="G79" s="1"/>
  <c r="E60"/>
  <c r="D60" s="1"/>
  <c r="H60"/>
  <c r="G60" s="1"/>
  <c r="K60"/>
  <c r="J60" s="1"/>
  <c r="E68"/>
  <c r="D68" s="1"/>
  <c r="H68"/>
  <c r="G68" s="1"/>
  <c r="K68"/>
  <c r="J68" s="1"/>
  <c r="E76"/>
  <c r="D76" s="1"/>
  <c r="H76"/>
  <c r="G76" s="1"/>
  <c r="K76"/>
  <c r="J76" s="1"/>
  <c r="E84"/>
  <c r="D84" s="1"/>
  <c r="H84"/>
  <c r="G84" s="1"/>
  <c r="K84"/>
  <c r="J84" s="1"/>
  <c r="K61"/>
  <c r="J61" s="1"/>
  <c r="H61"/>
  <c r="G61" s="1"/>
  <c r="E61"/>
  <c r="D61" s="1"/>
  <c r="K69"/>
  <c r="J69" s="1"/>
  <c r="H69"/>
  <c r="G69" s="1"/>
  <c r="E69"/>
  <c r="D69" s="1"/>
  <c r="K77"/>
  <c r="J77" s="1"/>
  <c r="H77"/>
  <c r="G77" s="1"/>
  <c r="E77"/>
  <c r="D77" s="1"/>
  <c r="K85"/>
  <c r="J85" s="1"/>
  <c r="H85"/>
  <c r="G85" s="1"/>
  <c r="E85"/>
  <c r="D85" s="1"/>
  <c r="J87" i="17"/>
  <c r="L21" i="20"/>
  <c r="R6"/>
  <c r="H6"/>
  <c r="C82"/>
  <c r="L86" i="18"/>
  <c r="R11" i="16"/>
  <c r="E11"/>
  <c r="E21" s="1"/>
  <c r="E16" i="20"/>
  <c r="I11"/>
  <c r="H77" i="21" l="1"/>
  <c r="M76" i="18"/>
  <c r="M59"/>
  <c r="M75"/>
  <c r="M61"/>
  <c r="M68"/>
  <c r="M70"/>
  <c r="M73"/>
  <c r="M80"/>
  <c r="M56"/>
  <c r="M83"/>
  <c r="M62"/>
  <c r="M84"/>
  <c r="M71"/>
  <c r="M58"/>
  <c r="M77"/>
  <c r="M60"/>
  <c r="M79"/>
  <c r="M65"/>
  <c r="M72"/>
  <c r="M57"/>
  <c r="M66"/>
  <c r="C32" i="16"/>
  <c r="V21"/>
  <c r="M69" i="18"/>
  <c r="M64"/>
  <c r="M67"/>
  <c r="M63"/>
  <c r="M78"/>
  <c r="M81"/>
  <c r="M82"/>
  <c r="U10" i="14"/>
  <c r="M85" i="18"/>
  <c r="M74"/>
  <c r="F77" i="21"/>
  <c r="J49"/>
  <c r="L91" i="18"/>
  <c r="K86"/>
  <c r="J86" s="1"/>
  <c r="E86"/>
  <c r="D86" s="1"/>
  <c r="H86"/>
  <c r="G86" s="1"/>
  <c r="D91"/>
  <c r="J91"/>
  <c r="M55"/>
  <c r="G91"/>
  <c r="N81"/>
  <c r="N77"/>
  <c r="R11" i="20"/>
  <c r="H11"/>
  <c r="R16" i="16"/>
  <c r="R6"/>
  <c r="N55" i="18"/>
  <c r="N80"/>
  <c r="N64"/>
  <c r="N72"/>
  <c r="N82"/>
  <c r="N74"/>
  <c r="N66"/>
  <c r="N58"/>
  <c r="N56"/>
  <c r="N83"/>
  <c r="N75"/>
  <c r="N67"/>
  <c r="N59"/>
  <c r="N78"/>
  <c r="N70"/>
  <c r="N62"/>
  <c r="N73"/>
  <c r="N65"/>
  <c r="N79"/>
  <c r="N71"/>
  <c r="N63"/>
  <c r="N85"/>
  <c r="N69"/>
  <c r="N61"/>
  <c r="N84"/>
  <c r="N76"/>
  <c r="N68"/>
  <c r="N60"/>
  <c r="N57"/>
  <c r="R16" i="20"/>
  <c r="H16" i="16"/>
  <c r="H21" s="1"/>
  <c r="C83" i="20"/>
  <c r="B43" i="17"/>
  <c r="B44"/>
  <c r="B45"/>
  <c r="B46"/>
  <c r="C44"/>
  <c r="C46"/>
  <c r="C43"/>
  <c r="C45"/>
  <c r="C84" i="20"/>
  <c r="T6"/>
  <c r="P6" s="1"/>
  <c r="H16"/>
  <c r="E21"/>
  <c r="R53" i="11"/>
  <c r="Q53"/>
  <c r="P53"/>
  <c r="V10" i="14" l="1"/>
  <c r="H21" i="20"/>
  <c r="M86" i="18"/>
  <c r="M91" s="1"/>
  <c r="R21" i="16"/>
  <c r="U6" i="20"/>
  <c r="R21"/>
  <c r="J77" i="21"/>
  <c r="H91" i="18"/>
  <c r="N86"/>
  <c r="T6" i="16"/>
  <c r="C47" i="17"/>
  <c r="C81" i="20"/>
  <c r="T16"/>
  <c r="P16" s="1"/>
  <c r="U16" s="1"/>
  <c r="T16" i="16"/>
  <c r="P16" s="1"/>
  <c r="T11"/>
  <c r="P11" s="1"/>
  <c r="U11" s="1"/>
  <c r="T11" i="20"/>
  <c r="P11" s="1"/>
  <c r="U11" s="1"/>
  <c r="P6" i="16" l="1"/>
  <c r="U6" s="1"/>
  <c r="U21" s="1"/>
  <c r="T21"/>
  <c r="N91" i="18"/>
  <c r="Q56" i="11"/>
  <c r="Q64"/>
  <c r="Q73"/>
  <c r="Q74"/>
  <c r="Q58"/>
  <c r="Q75"/>
  <c r="Q59"/>
  <c r="Q76"/>
  <c r="Q81"/>
  <c r="Q78"/>
  <c r="Q62"/>
  <c r="Q61"/>
  <c r="Q63"/>
  <c r="Q68"/>
  <c r="Q60"/>
  <c r="Q80"/>
  <c r="Q57"/>
  <c r="Q66"/>
  <c r="Q79"/>
  <c r="Q69"/>
  <c r="Q67"/>
  <c r="Q72"/>
  <c r="Q65"/>
  <c r="Q70"/>
  <c r="Q77"/>
  <c r="Q71"/>
  <c r="Q55"/>
  <c r="P21" i="20"/>
  <c r="U21"/>
  <c r="D4" i="21"/>
  <c r="D32" s="1"/>
  <c r="T21" i="20"/>
  <c r="B43" i="18"/>
  <c r="B45"/>
  <c r="B44"/>
  <c r="C42"/>
  <c r="C44"/>
  <c r="C46"/>
  <c r="C43"/>
  <c r="C45"/>
  <c r="B46"/>
  <c r="B35" i="21"/>
  <c r="B36"/>
  <c r="B37"/>
  <c r="B38"/>
  <c r="C37"/>
  <c r="C39" s="1"/>
  <c r="P21" i="16" l="1"/>
  <c r="C47" i="18"/>
  <c r="N55" i="11" l="1"/>
  <c r="B38" l="1"/>
  <c r="C37"/>
  <c r="B39"/>
  <c r="C40"/>
  <c r="C38"/>
  <c r="C39"/>
  <c r="B40"/>
  <c r="B37"/>
  <c r="C41" l="1"/>
</calcChain>
</file>

<file path=xl/sharedStrings.xml><?xml version="1.0" encoding="utf-8"?>
<sst xmlns="http://schemas.openxmlformats.org/spreadsheetml/2006/main" count="739" uniqueCount="199">
  <si>
    <t>Danemark</t>
  </si>
  <si>
    <t>Islande</t>
  </si>
  <si>
    <t>Norvège</t>
  </si>
  <si>
    <t>Suède</t>
  </si>
  <si>
    <t>Finlande</t>
  </si>
  <si>
    <t>Estonie</t>
  </si>
  <si>
    <t>Lettonie</t>
  </si>
  <si>
    <t>Lituanie</t>
  </si>
  <si>
    <t>Allemagne</t>
  </si>
  <si>
    <t>Autriche</t>
  </si>
  <si>
    <t>Bulgarie</t>
  </si>
  <si>
    <t>Hongrie</t>
  </si>
  <si>
    <t>Liechtenstein</t>
  </si>
  <si>
    <t>Roumanie</t>
  </si>
  <si>
    <t>Rép. Tchèque</t>
  </si>
  <si>
    <t>Slovaquie</t>
  </si>
  <si>
    <t>Pologne</t>
  </si>
  <si>
    <t>Grèce</t>
  </si>
  <si>
    <t>Italie</t>
  </si>
  <si>
    <t>Belgique</t>
  </si>
  <si>
    <t>Royaume-Uni</t>
  </si>
  <si>
    <t>Espagne</t>
  </si>
  <si>
    <t>Pays-Bas</t>
  </si>
  <si>
    <t>Irlande</t>
  </si>
  <si>
    <t>Luxembourg</t>
  </si>
  <si>
    <t>Portugal</t>
  </si>
  <si>
    <t>Suisse</t>
  </si>
  <si>
    <t>Malte</t>
  </si>
  <si>
    <t>Slovénie</t>
  </si>
  <si>
    <t>Chypre</t>
  </si>
  <si>
    <t>TOTAL</t>
  </si>
  <si>
    <t>Soins médicaux</t>
  </si>
  <si>
    <t>Soins dentaires</t>
  </si>
  <si>
    <t>Médicaments</t>
  </si>
  <si>
    <t>Hospitalisations</t>
  </si>
  <si>
    <t>Autres prestations</t>
  </si>
  <si>
    <t>Total</t>
  </si>
  <si>
    <t>Bénéficiaires</t>
  </si>
  <si>
    <t>SOINS PROGRAMMES</t>
  </si>
  <si>
    <t>SOINS LIES A LA RESIDENCE</t>
  </si>
  <si>
    <t>TOTAL CREANCES</t>
  </si>
  <si>
    <t>Dépenses</t>
  </si>
  <si>
    <t>Croatie</t>
  </si>
  <si>
    <t>Andorre</t>
  </si>
  <si>
    <t>Macédoine</t>
  </si>
  <si>
    <t>Turquie</t>
  </si>
  <si>
    <t>Mali</t>
  </si>
  <si>
    <t>Maroc</t>
  </si>
  <si>
    <t>Tunisie</t>
  </si>
  <si>
    <t>Algérie</t>
  </si>
  <si>
    <t>Polynésie Française</t>
  </si>
  <si>
    <t>Nouvelle-Calédonie</t>
  </si>
  <si>
    <t>SOINS URGENTS</t>
  </si>
  <si>
    <t>Données globales</t>
  </si>
  <si>
    <t>Données ventilées par pays, type de créances, type de soins, nature de soins</t>
  </si>
  <si>
    <t>Carte 1 &amp; 2 : Répartition des prestations servies sur le territoire français selon la région</t>
  </si>
  <si>
    <r>
      <t xml:space="preserve">Soins de santé effectués sur le territoire français par des assurés des régimes étrangers et pris en charge au titre des </t>
    </r>
    <r>
      <rPr>
        <b/>
        <i/>
        <sz val="12"/>
        <color theme="1"/>
        <rFont val="Calibri"/>
        <family val="2"/>
        <scheme val="minor"/>
      </rPr>
      <t>règlements européens</t>
    </r>
  </si>
  <si>
    <r>
      <t xml:space="preserve">Soins de santé effectués sur le territoire français par des assurés des régimes étrangers et pris en charge au titre des </t>
    </r>
    <r>
      <rPr>
        <b/>
        <i/>
        <sz val="12"/>
        <color theme="1"/>
        <rFont val="Calibri"/>
        <family val="2"/>
        <scheme val="minor"/>
      </rPr>
      <t>conventions bilatérales ou des décrets de coordination</t>
    </r>
  </si>
  <si>
    <t>ACCUEIL</t>
  </si>
  <si>
    <t>Bénéficiaires et dépenses de soins de santé sur le territoire français des assurés des régimes étrangers (dans le cadre des règlements européens)</t>
  </si>
  <si>
    <t>Bénéficiaires et dépenses de soins de santé des assurés des régimes étrangers dans le cadre des conventions bilatérales et des décrets de coordination</t>
  </si>
  <si>
    <t>Données utilisées pour les cartes 1 &amp; 2</t>
  </si>
  <si>
    <t>Montant moyen</t>
  </si>
  <si>
    <t>Nombre</t>
  </si>
  <si>
    <t>Répartition</t>
  </si>
  <si>
    <t>Rang</t>
  </si>
  <si>
    <t>Légende :</t>
  </si>
  <si>
    <t>[0 à 1%[</t>
  </si>
  <si>
    <t>[1 à 5%[</t>
  </si>
  <si>
    <t>[5 à 15%[</t>
  </si>
  <si>
    <t>[15% et +[</t>
  </si>
  <si>
    <t>FACTURES</t>
  </si>
  <si>
    <t>FORFAITS</t>
  </si>
  <si>
    <t>Type de soins</t>
  </si>
  <si>
    <t>Nature des soins</t>
  </si>
  <si>
    <t>Répartion bénéficiaires</t>
  </si>
  <si>
    <t>Répartition dépenses</t>
  </si>
  <si>
    <t>Montant remboursé</t>
  </si>
  <si>
    <t>Soins médicalement nécessaires</t>
  </si>
  <si>
    <t>Hospitalisation</t>
  </si>
  <si>
    <t>Soins programmés</t>
  </si>
  <si>
    <t>Soins liés à la résidence</t>
  </si>
  <si>
    <t>Tous type de soins</t>
  </si>
  <si>
    <t>Graphique. Montant moyen des dépenses de soins de santé des assurés de l'UE-EEE-Suisse en France selon le type de soins</t>
  </si>
  <si>
    <t>Autres pays</t>
  </si>
  <si>
    <t>Soins nécessaires</t>
  </si>
  <si>
    <t>Soins urgents</t>
  </si>
  <si>
    <t>Graphique. Montant moyen des dépenses de soins de santé des assurés hors UE-EEE-Suisse en France selon le type de soins</t>
  </si>
  <si>
    <t>SOINS MEDICALEMENT NECESSAIRES</t>
  </si>
  <si>
    <t>dont</t>
  </si>
  <si>
    <t>CONTROLES MEDICAUX</t>
  </si>
  <si>
    <t>FRAIS DE GESTION</t>
  </si>
  <si>
    <t>Montants</t>
  </si>
  <si>
    <t>FORFAITS E109</t>
  </si>
  <si>
    <t>FORFAITS E121</t>
  </si>
  <si>
    <t>Allemagne (bateliers)</t>
  </si>
  <si>
    <t>Suisse (bateliers)</t>
  </si>
  <si>
    <t>Pays-Bas (bateliers)</t>
  </si>
  <si>
    <t>Belgique (bateliers)</t>
  </si>
  <si>
    <t>Luxembourg (bateliers)</t>
  </si>
  <si>
    <t>Contrôle médicaux</t>
  </si>
  <si>
    <t>Frais de gestion</t>
  </si>
  <si>
    <t>TOTAL PRESTATIONS SERVIES (hors frais de gestion)</t>
  </si>
  <si>
    <r>
      <t xml:space="preserve">Travailleurs </t>
    </r>
    <r>
      <rPr>
        <sz val="11"/>
        <color theme="1"/>
        <rFont val="Calibri"/>
        <family val="2"/>
        <scheme val="minor"/>
      </rPr>
      <t>(et ayants droit)</t>
    </r>
    <r>
      <rPr>
        <b/>
        <sz val="11"/>
        <color theme="1"/>
        <rFont val="Calibri"/>
        <family val="2"/>
        <scheme val="minor"/>
      </rPr>
      <t xml:space="preserve"> en CP</t>
    </r>
  </si>
  <si>
    <r>
      <t xml:space="preserve">Travailleurs </t>
    </r>
    <r>
      <rPr>
        <sz val="11"/>
        <color theme="1"/>
        <rFont val="Calibri"/>
        <family val="2"/>
        <scheme val="minor"/>
      </rPr>
      <t>(et ayants droit)</t>
    </r>
    <r>
      <rPr>
        <b/>
        <sz val="11"/>
        <color theme="1"/>
        <rFont val="Calibri"/>
        <family val="2"/>
        <scheme val="minor"/>
      </rPr>
      <t xml:space="preserve"> en transfert</t>
    </r>
  </si>
  <si>
    <t>Ayants droit du travailleur</t>
  </si>
  <si>
    <r>
      <t xml:space="preserve">Pensionnés </t>
    </r>
    <r>
      <rPr>
        <sz val="11"/>
        <color theme="1"/>
        <rFont val="Calibri"/>
        <family val="2"/>
        <scheme val="minor"/>
      </rPr>
      <t>(et ayants droit)</t>
    </r>
  </si>
  <si>
    <t>Transfert de résidence</t>
  </si>
  <si>
    <t>E213;ECM;CMDX</t>
  </si>
  <si>
    <t>Montant</t>
  </si>
  <si>
    <t>B</t>
  </si>
  <si>
    <t>Mt</t>
  </si>
  <si>
    <t>Monténégro</t>
  </si>
  <si>
    <t>Gabon</t>
  </si>
  <si>
    <t>Saint-Pierre et Miquelon</t>
  </si>
  <si>
    <t>TOTAL BILATERAL</t>
  </si>
  <si>
    <t>dont conventions bilatérales</t>
  </si>
  <si>
    <t>dont décrets de coordination</t>
  </si>
  <si>
    <t>TOTAL UE-EEE-Suisse</t>
  </si>
  <si>
    <t>dont bateliers rhénans</t>
  </si>
  <si>
    <r>
      <t>Source :</t>
    </r>
    <r>
      <rPr>
        <sz val="10"/>
        <color theme="1"/>
        <rFont val="Gill Sans MT"/>
        <family val="2"/>
      </rPr>
      <t xml:space="preserve"> CNSE</t>
    </r>
  </si>
  <si>
    <t>* Ces données ne tiennent pas compte des montants relatifs aux renonciations, des montants négatifs, des frais de gestion</t>
  </si>
  <si>
    <t>DOM</t>
  </si>
  <si>
    <t>Montant moyen (en €)</t>
  </si>
  <si>
    <t>Dépenses (en €)</t>
  </si>
  <si>
    <t>Graphique 1. Principaux pays d'affiliation des assurés de l'UE-EEE-Suisse selon le nombre de bénéficiaires</t>
  </si>
  <si>
    <t>Graphique 2. Principaux pays d'affiliation des assurés de l'UE-EEE-Suisse selon le montant des dépenses</t>
  </si>
  <si>
    <t>Graphique 8. Répartition des dépenses de soins de santé des assurés  hors UE-EEE-Suisse en France selon la nature des soins</t>
  </si>
  <si>
    <t>Graphique 3. Bénéficiaires et dépenses de soins de santé des assurés de l'UE-EEE-Suisse en France selon le type de situation</t>
  </si>
  <si>
    <t>Graphique 4. Répartition des dépenses de soins de santé des assurés de l'UE-EEE-Suisse en France selon la nature des soins</t>
  </si>
  <si>
    <t>Graphique 5. Principaux pays d'affiliation des assurés hors UE-EEE-Suisse selon le nombre de bénéficiaires</t>
  </si>
  <si>
    <t>Graphique 6. Principaux pays d'affiliation des assurés hors UE-EEE-Suisse selon le montant des dépenses</t>
  </si>
  <si>
    <t>Graphique 7. Bénéficiaires et dépenses de soins de santé des assurés hors UE-EEE-Suisse en France selon le type de situation</t>
  </si>
  <si>
    <r>
      <rPr>
        <u/>
        <sz val="10"/>
        <color indexed="8"/>
        <rFont val="Gill Sans MT"/>
        <family val="2"/>
      </rPr>
      <t>Source</t>
    </r>
    <r>
      <rPr>
        <sz val="10"/>
        <color indexed="8"/>
        <rFont val="Gill Sans MT"/>
        <family val="2"/>
      </rPr>
      <t xml:space="preserve"> : CNSE</t>
    </r>
  </si>
  <si>
    <t>Graphique 1 : Répartition des bénéficiaires de soins de santé de l’UE-EEE-Suisse en France</t>
  </si>
  <si>
    <t>Graphiques 3 &amp; 4 : Répartition des dépenses de soins de santé des assurés de l’UE-EEE-Suisse en France</t>
  </si>
  <si>
    <t>Graphique 2 :  Répartion des dépenses selon le type et la nature des soins</t>
  </si>
  <si>
    <t>Graphique 5 : Répartition des bénéficiaires de soins de santé hors UE-EEE-Suisse en France</t>
  </si>
  <si>
    <t>Graphique 6 :  Répartion des dépenses selon le type et la nature des soins</t>
  </si>
  <si>
    <t>Graphiques 7 &amp; 8  : Répartition des dépenses de soins de santé des assurés hors UE-EEE-Suisse en France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</si>
  <si>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</si>
  <si>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</si>
  <si>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</si>
  <si>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</si>
  <si>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</si>
  <si>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</si>
  <si>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</si>
  <si>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</si>
  <si>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</si>
  <si>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</si>
  <si>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</si>
  <si>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</si>
  <si>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Provence-Alpes-Côte d'Azur</t>
  </si>
  <si>
    <t>Bateliers</t>
  </si>
  <si>
    <t>Oui</t>
  </si>
  <si>
    <t>Frais gestion</t>
  </si>
  <si>
    <t>%</t>
  </si>
  <si>
    <t>Contrôles médicaux</t>
  </si>
  <si>
    <t>Montant remboursé hors frais gestion</t>
  </si>
  <si>
    <t>Montant remboursé frais gestion compris</t>
  </si>
  <si>
    <t>Type accord</t>
  </si>
  <si>
    <t>Convention</t>
  </si>
  <si>
    <t>Décret</t>
  </si>
  <si>
    <t>Bénin</t>
  </si>
  <si>
    <t>Bosnie</t>
  </si>
  <si>
    <t>Cameroun</t>
  </si>
  <si>
    <t>Cap-Vert</t>
  </si>
  <si>
    <t>Congo</t>
  </si>
  <si>
    <t>Côte d'Ivoire</t>
  </si>
  <si>
    <t>Israël</t>
  </si>
  <si>
    <t>Kosovo</t>
  </si>
  <si>
    <t>Madagascar</t>
  </si>
  <si>
    <t>Mauritanie</t>
  </si>
  <si>
    <t>Niger</t>
  </si>
  <si>
    <t>Sénégal</t>
  </si>
  <si>
    <t>Serbie</t>
  </si>
  <si>
    <t>Togo</t>
  </si>
  <si>
    <r>
      <t>Assurés des régimes étrangers bénéficiaires de soins de santé en France</t>
    </r>
    <r>
      <rPr>
        <b/>
        <sz val="8"/>
        <rFont val="Arial"/>
        <family val="2"/>
      </rPr>
      <t xml:space="preserve"> selon la région des soins </t>
    </r>
  </si>
  <si>
    <t>Nombre de bénéficiaires</t>
  </si>
  <si>
    <r>
      <t>Dépenses de soins de santé des assurés des régimes étrangers en France</t>
    </r>
    <r>
      <rPr>
        <b/>
        <sz val="8"/>
        <rFont val="Arial"/>
        <family val="2"/>
      </rPr>
      <t xml:space="preserve"> selon la région des soins</t>
    </r>
  </si>
  <si>
    <t>Dépenses (hors frais de gestion)</t>
  </si>
  <si>
    <t>Montant moyen (hors frais de gestion)</t>
  </si>
  <si>
    <t>* Dont étudiants</t>
  </si>
  <si>
    <t>Québec *</t>
  </si>
  <si>
    <t>*Dont étudants (voir onglet " Données conventions bilatérales")</t>
  </si>
  <si>
    <r>
      <t xml:space="preserve">Soins de santé effectués sur le territoire français </t>
    </r>
    <r>
      <rPr>
        <b/>
        <sz val="11"/>
        <color theme="1"/>
        <rFont val="Gill Sans MT"/>
        <family val="2"/>
      </rPr>
      <t xml:space="preserve"> par des assurés des régimes étrangers dans le cadre de la coordination</t>
    </r>
  </si>
  <si>
    <t>Soins médicalements nécessaires/urgents</t>
  </si>
  <si>
    <t>Global</t>
  </si>
  <si>
    <t>Montants hors frais de gestion</t>
  </si>
  <si>
    <t>Coût moyen</t>
  </si>
  <si>
    <t>CREANCES FRANCAISES PRESENTEES AU COURS DE L'ANNEE 2017</t>
  </si>
  <si>
    <t>Créances présentées en 2017*</t>
  </si>
  <si>
    <t>Wallis et Futuna</t>
  </si>
  <si>
    <t>Wallis et Futuba</t>
  </si>
  <si>
    <t>Coût moyen global des soins en 2017</t>
  </si>
  <si>
    <t>Forfaits Algérie, Serbie, Turquie, Wallis et Futuna (ventilation impossible par région)</t>
  </si>
  <si>
    <t>Différentiel  créances globales / régions</t>
  </si>
  <si>
    <r>
      <t>Note de lecture</t>
    </r>
    <r>
      <rPr>
        <sz val="10"/>
        <color theme="1"/>
        <rFont val="Calibri"/>
        <family val="2"/>
        <scheme val="minor"/>
      </rPr>
      <t xml:space="preserve"> : Les contrôles médicaux et forfaits sont liés majoritairement à la résidence.</t>
    </r>
  </si>
  <si>
    <r>
      <t>Note de lecture</t>
    </r>
    <r>
      <rPr>
        <sz val="10"/>
        <color theme="1"/>
        <rFont val="Calibri"/>
        <family val="2"/>
        <scheme val="minor"/>
      </rPr>
      <t xml:space="preserve"> : Les contrôles médicaux et forfaits sont liés majoritairement à la résidence. Les frais de gestion sont proratisés selon les types de soins.</t>
    </r>
  </si>
</sst>
</file>

<file path=xl/styles.xml><?xml version="1.0" encoding="utf-8"?>
<styleSheet xmlns="http://schemas.openxmlformats.org/spreadsheetml/2006/main">
  <numFmts count="9"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#,##0.0"/>
    <numFmt numFmtId="166" formatCode="#,##0\ &quot;€&quot;"/>
    <numFmt numFmtId="167" formatCode="_-* #,##0\ _€_-;\-* #,##0\ _€_-;_-* &quot;-&quot;??\ _€_-;_-@_-"/>
    <numFmt numFmtId="168" formatCode="#,##0_ ;\-#,##0\ "/>
    <numFmt numFmtId="169" formatCode="#,##0.00,,&quot; M€&quot;"/>
    <numFmt numFmtId="170" formatCode="0.000%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Gill Sans MT"/>
      <family val="2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Gill Sans MT"/>
      <family val="2"/>
    </font>
    <font>
      <i/>
      <sz val="10"/>
      <color theme="1"/>
      <name val="Calibri"/>
      <family val="2"/>
      <scheme val="minor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0"/>
      <name val="Gill Sans MT"/>
      <family val="2"/>
    </font>
    <font>
      <sz val="10"/>
      <color indexed="8"/>
      <name val="Gill Sans MT"/>
      <family val="2"/>
    </font>
    <font>
      <u/>
      <sz val="10"/>
      <color indexed="8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i/>
      <sz val="11"/>
      <color theme="1"/>
      <name val="Calibri"/>
      <family val="2"/>
      <scheme val="minor"/>
    </font>
    <font>
      <b/>
      <sz val="10"/>
      <color rgb="FF000000"/>
      <name val="Gill Sans MT"/>
    </font>
    <font>
      <i/>
      <sz val="10"/>
      <color rgb="FF000000"/>
      <name val="Gill Sans MT"/>
      <family val="2"/>
    </font>
    <font>
      <b/>
      <sz val="10"/>
      <color theme="1"/>
      <name val="Gill Sans MT"/>
    </font>
    <font>
      <b/>
      <sz val="10"/>
      <color rgb="FFFF0000"/>
      <name val="Gill Sans MT"/>
      <family val="2"/>
    </font>
    <font>
      <i/>
      <sz val="10"/>
      <color theme="1"/>
      <name val="Gill Sans MT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Gill Sans MT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fgColor theme="0" tint="-0.24994659260841701"/>
        <bgColor theme="6"/>
      </patternFill>
    </fill>
    <fill>
      <patternFill patternType="lightUp">
        <fgColor theme="0" tint="-0.24994659260841701"/>
        <bgColor rgb="FFFFC000"/>
      </patternFill>
    </fill>
    <fill>
      <patternFill patternType="lightUp">
        <fgColor theme="0" tint="-0.24994659260841701"/>
        <bgColor rgb="FFFF99CC"/>
      </patternFill>
    </fill>
    <fill>
      <patternFill patternType="solid">
        <fgColor theme="5"/>
        <bgColor indexed="64"/>
      </patternFill>
    </fill>
    <fill>
      <patternFill patternType="solid">
        <fgColor rgb="FFFFD1E8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65"/>
        <bgColor theme="0" tint="-0.24994659260841701"/>
      </patternFill>
    </fill>
    <fill>
      <patternFill patternType="solid">
        <fgColor indexed="65"/>
        <bgColor auto="1"/>
      </patternFill>
    </fill>
    <fill>
      <patternFill patternType="lightUp">
        <f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1" applyFill="1" applyAlignment="1" applyProtection="1"/>
    <xf numFmtId="0" fontId="5" fillId="0" borderId="0" xfId="1" applyAlignment="1" applyProtection="1"/>
    <xf numFmtId="0" fontId="5" fillId="9" borderId="7" xfId="1" applyFill="1" applyBorder="1" applyAlignment="1" applyProtection="1"/>
    <xf numFmtId="0" fontId="7" fillId="0" borderId="0" xfId="0" applyFont="1"/>
    <xf numFmtId="0" fontId="7" fillId="0" borderId="0" xfId="0" applyFont="1" applyAlignment="1"/>
    <xf numFmtId="3" fontId="0" fillId="0" borderId="0" xfId="0" applyNumberFormat="1"/>
    <xf numFmtId="4" fontId="0" fillId="0" borderId="0" xfId="0" applyNumberFormat="1"/>
    <xf numFmtId="0" fontId="0" fillId="0" borderId="0" xfId="0" applyFill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12" borderId="1" xfId="0" applyFont="1" applyFill="1" applyBorder="1"/>
    <xf numFmtId="164" fontId="11" fillId="0" borderId="0" xfId="0" applyNumberFormat="1" applyFont="1"/>
    <xf numFmtId="0" fontId="12" fillId="0" borderId="0" xfId="0" applyFont="1"/>
    <xf numFmtId="0" fontId="13" fillId="11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left"/>
    </xf>
    <xf numFmtId="0" fontId="11" fillId="11" borderId="1" xfId="0" applyFont="1" applyFill="1" applyBorder="1" applyAlignment="1">
      <alignment horizontal="left"/>
    </xf>
    <xf numFmtId="0" fontId="14" fillId="0" borderId="0" xfId="0" applyFont="1"/>
    <xf numFmtId="3" fontId="11" fillId="0" borderId="0" xfId="0" applyNumberFormat="1" applyFont="1"/>
    <xf numFmtId="0" fontId="16" fillId="0" borderId="0" xfId="0" applyFont="1" applyAlignment="1">
      <alignment horizontal="left"/>
    </xf>
    <xf numFmtId="0" fontId="11" fillId="0" borderId="0" xfId="0" applyFont="1" applyFill="1"/>
    <xf numFmtId="0" fontId="11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3" fontId="17" fillId="0" borderId="1" xfId="2" applyNumberFormat="1" applyFont="1" applyFill="1" applyBorder="1" applyAlignment="1">
      <alignment wrapText="1"/>
    </xf>
    <xf numFmtId="0" fontId="14" fillId="0" borderId="0" xfId="0" applyFont="1" applyFill="1"/>
    <xf numFmtId="0" fontId="0" fillId="0" borderId="0" xfId="0" applyBorder="1"/>
    <xf numFmtId="3" fontId="17" fillId="0" borderId="0" xfId="2" applyNumberFormat="1" applyFont="1" applyFill="1" applyBorder="1" applyAlignment="1">
      <alignment wrapText="1"/>
    </xf>
    <xf numFmtId="0" fontId="7" fillId="0" borderId="0" xfId="0" applyFont="1" applyBorder="1" applyAlignment="1">
      <alignment vertical="center"/>
    </xf>
    <xf numFmtId="43" fontId="7" fillId="0" borderId="0" xfId="2" applyFont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165" fontId="0" fillId="0" borderId="0" xfId="0" applyNumberFormat="1"/>
    <xf numFmtId="3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ill="1" applyBorder="1"/>
    <xf numFmtId="164" fontId="17" fillId="0" borderId="1" xfId="2" applyNumberFormat="1" applyFont="1" applyFill="1" applyBorder="1" applyAlignment="1">
      <alignment wrapText="1"/>
    </xf>
    <xf numFmtId="164" fontId="0" fillId="0" borderId="1" xfId="0" applyNumberFormat="1" applyFill="1" applyBorder="1"/>
    <xf numFmtId="164" fontId="1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/>
    </xf>
    <xf numFmtId="3" fontId="17" fillId="14" borderId="1" xfId="2" applyNumberFormat="1" applyFont="1" applyFill="1" applyBorder="1" applyAlignment="1">
      <alignment wrapText="1"/>
    </xf>
    <xf numFmtId="164" fontId="17" fillId="14" borderId="1" xfId="2" applyNumberFormat="1" applyFont="1" applyFill="1" applyBorder="1" applyAlignment="1">
      <alignment wrapText="1"/>
    </xf>
    <xf numFmtId="164" fontId="16" fillId="14" borderId="1" xfId="2" applyNumberFormat="1" applyFont="1" applyFill="1" applyBorder="1" applyAlignment="1">
      <alignment wrapText="1"/>
    </xf>
    <xf numFmtId="0" fontId="1" fillId="14" borderId="1" xfId="0" applyFont="1" applyFill="1" applyBorder="1"/>
    <xf numFmtId="0" fontId="0" fillId="14" borderId="0" xfId="0" applyFill="1"/>
    <xf numFmtId="3" fontId="11" fillId="14" borderId="1" xfId="0" applyNumberFormat="1" applyFont="1" applyFill="1" applyBorder="1" applyAlignment="1"/>
    <xf numFmtId="3" fontId="11" fillId="14" borderId="2" xfId="0" applyNumberFormat="1" applyFont="1" applyFill="1" applyBorder="1" applyAlignment="1"/>
    <xf numFmtId="164" fontId="0" fillId="14" borderId="1" xfId="0" applyNumberFormat="1" applyFill="1" applyBorder="1"/>
    <xf numFmtId="3" fontId="1" fillId="14" borderId="1" xfId="0" applyNumberFormat="1" applyFont="1" applyFill="1" applyBorder="1"/>
    <xf numFmtId="164" fontId="1" fillId="14" borderId="1" xfId="0" applyNumberFormat="1" applyFont="1" applyFill="1" applyBorder="1"/>
    <xf numFmtId="165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1" fillId="0" borderId="1" xfId="0" applyFont="1" applyFill="1" applyBorder="1" applyAlignment="1">
      <alignment vertical="center"/>
    </xf>
    <xf numFmtId="9" fontId="11" fillId="0" borderId="0" xfId="3" applyFont="1"/>
    <xf numFmtId="164" fontId="11" fillId="0" borderId="0" xfId="3" applyNumberFormat="1" applyFont="1"/>
    <xf numFmtId="0" fontId="0" fillId="15" borderId="1" xfId="0" applyFill="1" applyBorder="1"/>
    <xf numFmtId="41" fontId="0" fillId="0" borderId="1" xfId="2" applyNumberFormat="1" applyFont="1" applyBorder="1"/>
    <xf numFmtId="3" fontId="0" fillId="0" borderId="1" xfId="0" applyNumberFormat="1" applyBorder="1"/>
    <xf numFmtId="164" fontId="0" fillId="0" borderId="1" xfId="3" applyNumberFormat="1" applyFont="1" applyBorder="1"/>
    <xf numFmtId="165" fontId="11" fillId="15" borderId="1" xfId="0" applyNumberFormat="1" applyFont="1" applyFill="1" applyBorder="1"/>
    <xf numFmtId="0" fontId="1" fillId="0" borderId="0" xfId="0" applyFont="1" applyFill="1"/>
    <xf numFmtId="10" fontId="11" fillId="12" borderId="1" xfId="0" applyNumberFormat="1" applyFont="1" applyFill="1" applyBorder="1"/>
    <xf numFmtId="41" fontId="0" fillId="0" borderId="1" xfId="2" applyNumberFormat="1" applyFont="1" applyFill="1" applyBorder="1"/>
    <xf numFmtId="164" fontId="17" fillId="0" borderId="0" xfId="3" applyNumberFormat="1" applyFont="1" applyFill="1" applyBorder="1" applyAlignment="1">
      <alignment wrapText="1"/>
    </xf>
    <xf numFmtId="0" fontId="1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6" borderId="3" xfId="0" applyFont="1" applyFill="1" applyBorder="1" applyAlignment="1">
      <alignment horizontal="center" vertical="center"/>
    </xf>
    <xf numFmtId="0" fontId="0" fillId="15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17" borderId="1" xfId="0" applyFill="1" applyBorder="1" applyAlignment="1" applyProtection="1">
      <alignment horizontal="center"/>
      <protection locked="0"/>
    </xf>
    <xf numFmtId="0" fontId="0" fillId="24" borderId="1" xfId="0" applyFill="1" applyBorder="1" applyAlignment="1" applyProtection="1">
      <alignment horizontal="center"/>
      <protection locked="0"/>
    </xf>
    <xf numFmtId="3" fontId="0" fillId="18" borderId="1" xfId="0" applyNumberForma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3" fontId="0" fillId="25" borderId="1" xfId="0" applyNumberFormat="1" applyFill="1" applyBorder="1" applyProtection="1">
      <protection locked="0"/>
    </xf>
    <xf numFmtId="3" fontId="0" fillId="26" borderId="1" xfId="0" applyNumberFormat="1" applyFill="1" applyBorder="1" applyProtection="1">
      <protection locked="0"/>
    </xf>
    <xf numFmtId="165" fontId="0" fillId="26" borderId="1" xfId="0" applyNumberForma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25" borderId="1" xfId="0" applyNumberFormat="1" applyFill="1" applyBorder="1" applyProtection="1">
      <protection locked="0"/>
    </xf>
    <xf numFmtId="3" fontId="1" fillId="15" borderId="1" xfId="0" applyNumberFormat="1" applyFont="1" applyFill="1" applyBorder="1" applyProtection="1"/>
    <xf numFmtId="165" fontId="1" fillId="15" borderId="1" xfId="0" applyNumberFormat="1" applyFont="1" applyFill="1" applyBorder="1" applyProtection="1"/>
    <xf numFmtId="3" fontId="1" fillId="2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3" fontId="1" fillId="3" borderId="1" xfId="0" applyNumberFormat="1" applyFont="1" applyFill="1" applyBorder="1" applyProtection="1"/>
    <xf numFmtId="165" fontId="1" fillId="3" borderId="1" xfId="0" applyNumberFormat="1" applyFont="1" applyFill="1" applyBorder="1" applyProtection="1"/>
    <xf numFmtId="3" fontId="1" fillId="8" borderId="1" xfId="0" applyNumberFormat="1" applyFont="1" applyFill="1" applyBorder="1" applyProtection="1"/>
    <xf numFmtId="3" fontId="1" fillId="17" borderId="1" xfId="0" applyNumberFormat="1" applyFont="1" applyFill="1" applyBorder="1" applyProtection="1"/>
    <xf numFmtId="3" fontId="1" fillId="19" borderId="1" xfId="0" applyNumberFormat="1" applyFont="1" applyFill="1" applyBorder="1" applyProtection="1"/>
    <xf numFmtId="0" fontId="0" fillId="0" borderId="1" xfId="0" applyBorder="1" applyProtection="1">
      <protection locked="0"/>
    </xf>
    <xf numFmtId="0" fontId="1" fillId="4" borderId="1" xfId="0" applyFont="1" applyFill="1" applyBorder="1" applyProtection="1"/>
    <xf numFmtId="0" fontId="1" fillId="5" borderId="1" xfId="0" applyFont="1" applyFill="1" applyBorder="1" applyProtection="1"/>
    <xf numFmtId="0" fontId="1" fillId="6" borderId="1" xfId="0" applyFont="1" applyFill="1" applyBorder="1" applyProtection="1"/>
    <xf numFmtId="0" fontId="18" fillId="0" borderId="1" xfId="0" applyFont="1" applyBorder="1" applyProtection="1">
      <protection locked="0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65" fontId="0" fillId="14" borderId="0" xfId="0" applyNumberFormat="1" applyFill="1"/>
    <xf numFmtId="3" fontId="11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3" fontId="11" fillId="14" borderId="0" xfId="0" applyNumberFormat="1" applyFont="1" applyFill="1" applyBorder="1" applyAlignment="1">
      <alignment horizontal="center" vertical="center"/>
    </xf>
    <xf numFmtId="164" fontId="13" fillId="14" borderId="0" xfId="0" applyNumberFormat="1" applyFont="1" applyFill="1" applyBorder="1" applyAlignment="1">
      <alignment horizontal="center" vertical="center"/>
    </xf>
    <xf numFmtId="165" fontId="11" fillId="14" borderId="0" xfId="0" applyNumberFormat="1" applyFont="1" applyFill="1" applyBorder="1" applyAlignment="1">
      <alignment horizontal="center" vertical="center"/>
    </xf>
    <xf numFmtId="166" fontId="13" fillId="14" borderId="0" xfId="0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wrapText="1"/>
    </xf>
    <xf numFmtId="3" fontId="18" fillId="0" borderId="0" xfId="0" applyNumberFormat="1" applyFont="1"/>
    <xf numFmtId="3" fontId="1" fillId="0" borderId="1" xfId="0" applyNumberFormat="1" applyFont="1" applyBorder="1"/>
    <xf numFmtId="3" fontId="19" fillId="0" borderId="1" xfId="2" applyNumberFormat="1" applyFont="1" applyFill="1" applyBorder="1" applyAlignment="1">
      <alignment wrapText="1"/>
    </xf>
    <xf numFmtId="164" fontId="19" fillId="13" borderId="1" xfId="2" applyNumberFormat="1" applyFont="1" applyFill="1" applyBorder="1" applyAlignment="1">
      <alignment wrapText="1"/>
    </xf>
    <xf numFmtId="0" fontId="7" fillId="13" borderId="2" xfId="0" applyFont="1" applyFill="1" applyBorder="1" applyAlignment="1">
      <alignment vertical="center"/>
    </xf>
    <xf numFmtId="164" fontId="16" fillId="13" borderId="1" xfId="2" applyNumberFormat="1" applyFont="1" applyFill="1" applyBorder="1" applyAlignment="1">
      <alignment wrapText="1"/>
    </xf>
    <xf numFmtId="0" fontId="0" fillId="13" borderId="1" xfId="0" applyFill="1" applyBorder="1"/>
    <xf numFmtId="43" fontId="18" fillId="0" borderId="0" xfId="0" applyNumberFormat="1" applyFont="1"/>
    <xf numFmtId="165" fontId="11" fillId="0" borderId="0" xfId="0" applyNumberFormat="1" applyFont="1"/>
    <xf numFmtId="0" fontId="18" fillId="0" borderId="0" xfId="0" applyFont="1" applyBorder="1"/>
    <xf numFmtId="3" fontId="20" fillId="0" borderId="0" xfId="2" applyNumberFormat="1" applyFont="1" applyFill="1" applyBorder="1" applyAlignment="1">
      <alignment wrapText="1"/>
    </xf>
    <xf numFmtId="10" fontId="17" fillId="0" borderId="1" xfId="2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/>
    </xf>
    <xf numFmtId="3" fontId="19" fillId="13" borderId="1" xfId="2" applyNumberFormat="1" applyFont="1" applyFill="1" applyBorder="1" applyAlignment="1">
      <alignment wrapText="1"/>
    </xf>
    <xf numFmtId="10" fontId="19" fillId="13" borderId="1" xfId="2" applyNumberFormat="1" applyFont="1" applyFill="1" applyBorder="1" applyAlignment="1">
      <alignment wrapText="1"/>
    </xf>
    <xf numFmtId="0" fontId="11" fillId="0" borderId="2" xfId="0" applyFont="1" applyFill="1" applyBorder="1" applyAlignment="1">
      <alignment vertical="center"/>
    </xf>
    <xf numFmtId="0" fontId="21" fillId="0" borderId="1" xfId="0" applyFont="1" applyBorder="1"/>
    <xf numFmtId="41" fontId="1" fillId="0" borderId="1" xfId="0" applyNumberFormat="1" applyFont="1" applyBorder="1"/>
    <xf numFmtId="9" fontId="7" fillId="12" borderId="1" xfId="0" applyNumberFormat="1" applyFont="1" applyFill="1" applyBorder="1"/>
    <xf numFmtId="0" fontId="7" fillId="12" borderId="1" xfId="0" applyFont="1" applyFill="1" applyBorder="1"/>
    <xf numFmtId="9" fontId="1" fillId="0" borderId="1" xfId="3" applyNumberFormat="1" applyFont="1" applyBorder="1"/>
    <xf numFmtId="165" fontId="22" fillId="15" borderId="1" xfId="0" applyNumberFormat="1" applyFont="1" applyFill="1" applyBorder="1"/>
    <xf numFmtId="9" fontId="11" fillId="0" borderId="0" xfId="3" applyFont="1" applyFill="1"/>
    <xf numFmtId="0" fontId="1" fillId="0" borderId="1" xfId="0" applyFont="1" applyBorder="1" applyAlignment="1">
      <alignment horizontal="center"/>
    </xf>
    <xf numFmtId="3" fontId="24" fillId="0" borderId="1" xfId="0" applyNumberFormat="1" applyFont="1" applyBorder="1"/>
    <xf numFmtId="165" fontId="25" fillId="15" borderId="1" xfId="0" applyNumberFormat="1" applyFont="1" applyFill="1" applyBorder="1"/>
    <xf numFmtId="10" fontId="26" fillId="29" borderId="1" xfId="3" applyNumberFormat="1" applyFont="1" applyFill="1" applyBorder="1"/>
    <xf numFmtId="0" fontId="26" fillId="30" borderId="1" xfId="0" applyFont="1" applyFill="1" applyBorder="1"/>
    <xf numFmtId="10" fontId="26" fillId="30" borderId="1" xfId="0" applyNumberFormat="1" applyFont="1" applyFill="1" applyBorder="1"/>
    <xf numFmtId="0" fontId="26" fillId="31" borderId="1" xfId="0" applyNumberFormat="1" applyFont="1" applyFill="1" applyBorder="1"/>
    <xf numFmtId="10" fontId="26" fillId="31" borderId="1" xfId="0" applyNumberFormat="1" applyFont="1" applyFill="1" applyBorder="1"/>
    <xf numFmtId="10" fontId="26" fillId="17" borderId="1" xfId="0" applyNumberFormat="1" applyFont="1" applyFill="1" applyBorder="1"/>
    <xf numFmtId="0" fontId="26" fillId="32" borderId="1" xfId="0" applyNumberFormat="1" applyFont="1" applyFill="1" applyBorder="1"/>
    <xf numFmtId="10" fontId="26" fillId="32" borderId="1" xfId="0" applyNumberFormat="1" applyFont="1" applyFill="1" applyBorder="1"/>
    <xf numFmtId="0" fontId="26" fillId="33" borderId="1" xfId="0" applyNumberFormat="1" applyFont="1" applyFill="1" applyBorder="1"/>
    <xf numFmtId="10" fontId="26" fillId="33" borderId="1" xfId="0" applyNumberFormat="1" applyFont="1" applyFill="1" applyBorder="1"/>
    <xf numFmtId="10" fontId="26" fillId="34" borderId="1" xfId="0" applyNumberFormat="1" applyFont="1" applyFill="1" applyBorder="1"/>
    <xf numFmtId="0" fontId="26" fillId="16" borderId="1" xfId="0" applyFont="1" applyFill="1" applyBorder="1"/>
    <xf numFmtId="10" fontId="26" fillId="16" borderId="1" xfId="0" applyNumberFormat="1" applyFont="1" applyFill="1" applyBorder="1"/>
    <xf numFmtId="0" fontId="27" fillId="35" borderId="1" xfId="0" applyFont="1" applyFill="1" applyBorder="1"/>
    <xf numFmtId="10" fontId="27" fillId="35" borderId="1" xfId="0" applyNumberFormat="1" applyFont="1" applyFill="1" applyBorder="1"/>
    <xf numFmtId="0" fontId="27" fillId="36" borderId="1" xfId="0" applyFont="1" applyFill="1" applyBorder="1"/>
    <xf numFmtId="10" fontId="27" fillId="36" borderId="1" xfId="0" applyNumberFormat="1" applyFont="1" applyFill="1" applyBorder="1"/>
    <xf numFmtId="0" fontId="26" fillId="29" borderId="1" xfId="0" applyNumberFormat="1" applyFont="1" applyFill="1" applyBorder="1"/>
    <xf numFmtId="0" fontId="26" fillId="34" borderId="1" xfId="0" applyNumberFormat="1" applyFont="1" applyFill="1" applyBorder="1"/>
    <xf numFmtId="0" fontId="26" fillId="17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67" fontId="0" fillId="0" borderId="1" xfId="2" applyNumberFormat="1" applyFont="1" applyBorder="1" applyProtection="1">
      <protection locked="0"/>
    </xf>
    <xf numFmtId="167" fontId="0" fillId="26" borderId="1" xfId="2" applyNumberFormat="1" applyFont="1" applyFill="1" applyBorder="1" applyProtection="1">
      <protection locked="0"/>
    </xf>
    <xf numFmtId="167" fontId="0" fillId="0" borderId="1" xfId="2" applyNumberFormat="1" applyFont="1" applyBorder="1"/>
    <xf numFmtId="167" fontId="0" fillId="25" borderId="1" xfId="2" applyNumberFormat="1" applyFont="1" applyFill="1" applyBorder="1" applyProtection="1">
      <protection locked="0"/>
    </xf>
    <xf numFmtId="167" fontId="0" fillId="0" borderId="1" xfId="2" applyNumberFormat="1" applyFont="1" applyBorder="1" applyProtection="1"/>
    <xf numFmtId="167" fontId="0" fillId="28" borderId="1" xfId="2" applyNumberFormat="1" applyFont="1" applyFill="1" applyBorder="1" applyProtection="1">
      <protection locked="0"/>
    </xf>
    <xf numFmtId="167" fontId="1" fillId="4" borderId="1" xfId="2" applyNumberFormat="1" applyFont="1" applyFill="1" applyBorder="1" applyProtection="1"/>
    <xf numFmtId="167" fontId="1" fillId="5" borderId="1" xfId="2" applyNumberFormat="1" applyFont="1" applyFill="1" applyBorder="1" applyProtection="1"/>
    <xf numFmtId="167" fontId="1" fillId="6" borderId="1" xfId="2" applyNumberFormat="1" applyFont="1" applyFill="1" applyBorder="1" applyProtection="1"/>
    <xf numFmtId="167" fontId="1" fillId="2" borderId="1" xfId="2" applyNumberFormat="1" applyFont="1" applyFill="1" applyBorder="1" applyProtection="1"/>
    <xf numFmtId="167" fontId="1" fillId="3" borderId="1" xfId="2" applyNumberFormat="1" applyFont="1" applyFill="1" applyBorder="1" applyProtection="1"/>
    <xf numFmtId="167" fontId="1" fillId="17" borderId="1" xfId="2" applyNumberFormat="1" applyFont="1" applyFill="1" applyBorder="1" applyProtection="1"/>
    <xf numFmtId="167" fontId="1" fillId="24" borderId="1" xfId="2" applyNumberFormat="1" applyFont="1" applyFill="1" applyBorder="1" applyProtection="1"/>
    <xf numFmtId="167" fontId="1" fillId="19" borderId="1" xfId="2" applyNumberFormat="1" applyFont="1" applyFill="1" applyBorder="1" applyProtection="1"/>
    <xf numFmtId="167" fontId="18" fillId="0" borderId="1" xfId="2" applyNumberFormat="1" applyFont="1" applyBorder="1" applyProtection="1">
      <protection locked="0"/>
    </xf>
    <xf numFmtId="0" fontId="5" fillId="9" borderId="0" xfId="1" applyFill="1" applyBorder="1" applyAlignment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0" xfId="0" applyNumberFormat="1"/>
    <xf numFmtId="9" fontId="16" fillId="13" borderId="1" xfId="3" applyFont="1" applyFill="1" applyBorder="1" applyAlignment="1">
      <alignment wrapText="1"/>
    </xf>
    <xf numFmtId="3" fontId="16" fillId="13" borderId="1" xfId="3" applyNumberFormat="1" applyFont="1" applyFill="1" applyBorder="1" applyAlignment="1">
      <alignment wrapText="1"/>
    </xf>
    <xf numFmtId="168" fontId="11" fillId="0" borderId="1" xfId="2" applyNumberFormat="1" applyFont="1" applyFill="1" applyBorder="1" applyAlignment="1">
      <alignment horizontal="right" vertical="center" wrapText="1"/>
    </xf>
    <xf numFmtId="168" fontId="7" fillId="13" borderId="1" xfId="2" applyNumberFormat="1" applyFont="1" applyFill="1" applyBorder="1" applyAlignment="1">
      <alignment horizontal="right"/>
    </xf>
    <xf numFmtId="169" fontId="11" fillId="0" borderId="1" xfId="2" applyNumberFormat="1" applyFont="1" applyBorder="1" applyAlignment="1">
      <alignment horizontal="center" vertical="center" wrapText="1"/>
    </xf>
    <xf numFmtId="0" fontId="28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1" xfId="2" applyNumberFormat="1" applyFont="1" applyBorder="1"/>
    <xf numFmtId="167" fontId="17" fillId="0" borderId="1" xfId="2" applyNumberFormat="1" applyFont="1" applyFill="1" applyBorder="1" applyAlignment="1">
      <alignment wrapText="1"/>
    </xf>
    <xf numFmtId="167" fontId="13" fillId="0" borderId="1" xfId="2" applyNumberFormat="1" applyFont="1" applyFill="1" applyBorder="1" applyAlignment="1">
      <alignment horizontal="right" vertical="center"/>
    </xf>
    <xf numFmtId="167" fontId="13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3" fontId="0" fillId="38" borderId="1" xfId="0" applyNumberFormat="1" applyFill="1" applyBorder="1" applyProtection="1">
      <protection locked="0"/>
    </xf>
    <xf numFmtId="0" fontId="0" fillId="38" borderId="1" xfId="0" applyFill="1" applyBorder="1" applyProtection="1">
      <protection locked="0"/>
    </xf>
    <xf numFmtId="167" fontId="0" fillId="0" borderId="1" xfId="2" applyNumberFormat="1" applyFont="1" applyFill="1" applyBorder="1" applyProtection="1">
      <protection locked="0"/>
    </xf>
    <xf numFmtId="167" fontId="1" fillId="8" borderId="1" xfId="2" applyNumberFormat="1" applyFont="1" applyFill="1" applyBorder="1" applyProtection="1"/>
    <xf numFmtId="167" fontId="0" fillId="27" borderId="1" xfId="2" applyNumberFormat="1" applyFont="1" applyFill="1" applyBorder="1" applyProtection="1">
      <protection locked="0"/>
    </xf>
    <xf numFmtId="167" fontId="18" fillId="0" borderId="1" xfId="2" applyNumberFormat="1" applyFont="1" applyBorder="1" applyProtection="1"/>
    <xf numFmtId="167" fontId="11" fillId="0" borderId="1" xfId="2" applyNumberFormat="1" applyFont="1" applyFill="1" applyBorder="1" applyAlignment="1">
      <alignment horizontal="right" vertical="center" wrapText="1"/>
    </xf>
    <xf numFmtId="165" fontId="1" fillId="0" borderId="6" xfId="0" applyNumberFormat="1" applyFont="1" applyFill="1" applyBorder="1"/>
    <xf numFmtId="164" fontId="16" fillId="0" borderId="6" xfId="2" applyNumberFormat="1" applyFont="1" applyFill="1" applyBorder="1" applyAlignment="1">
      <alignment wrapText="1"/>
    </xf>
    <xf numFmtId="165" fontId="21" fillId="0" borderId="6" xfId="0" applyNumberFormat="1" applyFont="1" applyFill="1" applyBorder="1" applyAlignment="1"/>
    <xf numFmtId="168" fontId="7" fillId="13" borderId="1" xfId="2" applyNumberFormat="1" applyFont="1" applyFill="1" applyBorder="1" applyAlignment="1">
      <alignment horizontal="right" vertical="center" wrapText="1"/>
    </xf>
    <xf numFmtId="0" fontId="31" fillId="0" borderId="0" xfId="0" applyFont="1"/>
    <xf numFmtId="167" fontId="1" fillId="0" borderId="0" xfId="2" applyNumberFormat="1" applyFont="1" applyBorder="1"/>
    <xf numFmtId="0" fontId="1" fillId="0" borderId="0" xfId="0" applyFont="1" applyBorder="1" applyAlignment="1">
      <alignment horizontal="right"/>
    </xf>
    <xf numFmtId="10" fontId="0" fillId="0" borderId="0" xfId="3" applyNumberFormat="1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15" xfId="0" applyBorder="1"/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167" fontId="0" fillId="0" borderId="5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7" fontId="0" fillId="0" borderId="8" xfId="0" applyNumberFormat="1" applyBorder="1" applyAlignment="1">
      <alignment vertical="center"/>
    </xf>
    <xf numFmtId="167" fontId="0" fillId="0" borderId="16" xfId="0" applyNumberFormat="1" applyBorder="1" applyAlignment="1">
      <alignment vertical="center"/>
    </xf>
    <xf numFmtId="167" fontId="0" fillId="0" borderId="17" xfId="0" applyNumberFormat="1" applyBorder="1" applyAlignment="1">
      <alignment vertical="center"/>
    </xf>
    <xf numFmtId="170" fontId="11" fillId="0" borderId="0" xfId="3" applyNumberFormat="1" applyFont="1"/>
    <xf numFmtId="0" fontId="0" fillId="39" borderId="0" xfId="0" applyFill="1"/>
    <xf numFmtId="0" fontId="3" fillId="39" borderId="0" xfId="0" applyFont="1" applyFill="1"/>
    <xf numFmtId="0" fontId="0" fillId="0" borderId="2" xfId="0" applyBorder="1"/>
    <xf numFmtId="3" fontId="0" fillId="26" borderId="1" xfId="0" applyNumberFormat="1" applyFill="1" applyBorder="1" applyAlignment="1" applyProtection="1">
      <alignment horizontal="center"/>
      <protection locked="0"/>
    </xf>
    <xf numFmtId="41" fontId="0" fillId="0" borderId="0" xfId="0" applyNumberFormat="1"/>
    <xf numFmtId="167" fontId="11" fillId="0" borderId="0" xfId="0" applyNumberFormat="1" applyFont="1"/>
    <xf numFmtId="0" fontId="18" fillId="15" borderId="1" xfId="0" applyFont="1" applyFill="1" applyBorder="1" applyAlignment="1">
      <alignment wrapText="1"/>
    </xf>
    <xf numFmtId="9" fontId="1" fillId="0" borderId="0" xfId="3" applyNumberFormat="1" applyFont="1" applyBorder="1"/>
    <xf numFmtId="0" fontId="1" fillId="0" borderId="0" xfId="0" applyFont="1" applyBorder="1"/>
    <xf numFmtId="167" fontId="33" fillId="0" borderId="0" xfId="0" applyNumberFormat="1" applyFont="1"/>
    <xf numFmtId="41" fontId="24" fillId="0" borderId="1" xfId="2" applyNumberFormat="1" applyFont="1" applyBorder="1" applyAlignment="1">
      <alignment vertical="center"/>
    </xf>
    <xf numFmtId="10" fontId="23" fillId="0" borderId="1" xfId="0" applyNumberFormat="1" applyFont="1" applyFill="1" applyBorder="1" applyAlignment="1">
      <alignment vertical="center"/>
    </xf>
    <xf numFmtId="0" fontId="23" fillId="12" borderId="1" xfId="0" applyFont="1" applyFill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165" fontId="11" fillId="0" borderId="0" xfId="0" applyNumberFormat="1" applyFont="1" applyFill="1"/>
    <xf numFmtId="164" fontId="0" fillId="0" borderId="0" xfId="3" applyNumberFormat="1" applyFont="1"/>
    <xf numFmtId="10" fontId="0" fillId="14" borderId="0" xfId="3" applyNumberFormat="1" applyFont="1" applyFill="1"/>
    <xf numFmtId="10" fontId="17" fillId="0" borderId="0" xfId="3" applyNumberFormat="1" applyFont="1" applyFill="1" applyBorder="1" applyAlignment="1">
      <alignment wrapText="1"/>
    </xf>
    <xf numFmtId="0" fontId="11" fillId="13" borderId="4" xfId="0" applyFont="1" applyFill="1" applyBorder="1"/>
    <xf numFmtId="16" fontId="11" fillId="11" borderId="4" xfId="0" applyNumberFormat="1" applyFont="1" applyFill="1" applyBorder="1"/>
    <xf numFmtId="0" fontId="7" fillId="13" borderId="4" xfId="0" applyFont="1" applyFill="1" applyBorder="1"/>
    <xf numFmtId="164" fontId="11" fillId="0" borderId="11" xfId="0" applyNumberFormat="1" applyFont="1" applyFill="1" applyBorder="1"/>
    <xf numFmtId="0" fontId="11" fillId="0" borderId="11" xfId="0" applyFont="1" applyFill="1" applyBorder="1"/>
    <xf numFmtId="0" fontId="11" fillId="10" borderId="2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7" fontId="13" fillId="0" borderId="5" xfId="2" applyNumberFormat="1" applyFont="1" applyFill="1" applyBorder="1" applyAlignment="1">
      <alignment horizontal="center" vertical="center"/>
    </xf>
    <xf numFmtId="167" fontId="13" fillId="0" borderId="8" xfId="2" applyNumberFormat="1" applyFont="1" applyFill="1" applyBorder="1" applyAlignment="1">
      <alignment horizontal="center" vertical="center"/>
    </xf>
    <xf numFmtId="167" fontId="13" fillId="0" borderId="6" xfId="2" applyNumberFormat="1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166" fontId="13" fillId="14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0" fontId="29" fillId="37" borderId="5" xfId="0" applyFont="1" applyFill="1" applyBorder="1" applyAlignment="1">
      <alignment horizontal="center" vertical="center"/>
    </xf>
    <xf numFmtId="0" fontId="29" fillId="37" borderId="8" xfId="0" applyFont="1" applyFill="1" applyBorder="1" applyAlignment="1">
      <alignment horizontal="center" vertical="center"/>
    </xf>
    <xf numFmtId="0" fontId="29" fillId="37" borderId="6" xfId="0" applyFont="1" applyFill="1" applyBorder="1" applyAlignment="1">
      <alignment horizontal="center" vertical="center"/>
    </xf>
    <xf numFmtId="3" fontId="13" fillId="14" borderId="5" xfId="0" applyNumberFormat="1" applyFont="1" applyFill="1" applyBorder="1" applyAlignment="1">
      <alignment horizontal="center" vertical="center"/>
    </xf>
    <xf numFmtId="3" fontId="13" fillId="14" borderId="8" xfId="0" applyNumberFormat="1" applyFont="1" applyFill="1" applyBorder="1" applyAlignment="1">
      <alignment horizontal="center" vertical="center"/>
    </xf>
    <xf numFmtId="3" fontId="13" fillId="14" borderId="6" xfId="0" applyNumberFormat="1" applyFont="1" applyFill="1" applyBorder="1" applyAlignment="1">
      <alignment horizontal="center" vertical="center"/>
    </xf>
    <xf numFmtId="164" fontId="13" fillId="14" borderId="5" xfId="0" applyNumberFormat="1" applyFont="1" applyFill="1" applyBorder="1" applyAlignment="1">
      <alignment horizontal="center" vertical="center"/>
    </xf>
    <xf numFmtId="164" fontId="13" fillId="14" borderId="8" xfId="0" applyNumberFormat="1" applyFont="1" applyFill="1" applyBorder="1" applyAlignment="1">
      <alignment horizontal="center" vertical="center"/>
    </xf>
    <xf numFmtId="164" fontId="13" fillId="14" borderId="6" xfId="0" applyNumberFormat="1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left" vertical="center"/>
    </xf>
    <xf numFmtId="0" fontId="11" fillId="11" borderId="6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3" fontId="11" fillId="14" borderId="1" xfId="0" applyNumberFormat="1" applyFont="1" applyFill="1" applyBorder="1" applyAlignment="1">
      <alignment horizontal="center" vertical="center"/>
    </xf>
    <xf numFmtId="0" fontId="1" fillId="20" borderId="2" xfId="0" applyFont="1" applyFill="1" applyBorder="1" applyAlignment="1" applyProtection="1">
      <alignment horizontal="center"/>
      <protection locked="0"/>
    </xf>
    <xf numFmtId="0" fontId="1" fillId="20" borderId="3" xfId="0" applyFont="1" applyFill="1" applyBorder="1" applyAlignment="1" applyProtection="1">
      <alignment horizontal="center"/>
      <protection locked="0"/>
    </xf>
    <xf numFmtId="0" fontId="1" fillId="20" borderId="4" xfId="0" applyFont="1" applyFill="1" applyBorder="1" applyAlignment="1" applyProtection="1">
      <alignment horizontal="center"/>
      <protection locked="0"/>
    </xf>
    <xf numFmtId="0" fontId="1" fillId="21" borderId="9" xfId="0" applyFont="1" applyFill="1" applyBorder="1" applyAlignment="1" applyProtection="1">
      <alignment horizontal="center" vertical="center"/>
      <protection locked="0"/>
    </xf>
    <xf numFmtId="0" fontId="1" fillId="21" borderId="10" xfId="0" applyFont="1" applyFill="1" applyBorder="1" applyAlignment="1" applyProtection="1">
      <alignment horizontal="center" vertical="center"/>
      <protection locked="0"/>
    </xf>
    <xf numFmtId="0" fontId="1" fillId="21" borderId="12" xfId="0" applyFont="1" applyFill="1" applyBorder="1" applyAlignment="1" applyProtection="1">
      <alignment horizontal="center" vertical="center"/>
      <protection locked="0"/>
    </xf>
    <xf numFmtId="0" fontId="1" fillId="21" borderId="13" xfId="0" applyFont="1" applyFill="1" applyBorder="1" applyAlignment="1" applyProtection="1">
      <alignment horizontal="center" vertical="center"/>
      <protection locked="0"/>
    </xf>
    <xf numFmtId="0" fontId="1" fillId="22" borderId="5" xfId="0" applyFont="1" applyFill="1" applyBorder="1" applyAlignment="1" applyProtection="1">
      <alignment horizontal="center" vertical="center" wrapText="1"/>
      <protection locked="0"/>
    </xf>
    <xf numFmtId="0" fontId="1" fillId="22" borderId="8" xfId="0" applyFont="1" applyFill="1" applyBorder="1" applyAlignment="1" applyProtection="1">
      <alignment horizontal="center" vertical="center" wrapText="1"/>
      <protection locked="0"/>
    </xf>
    <xf numFmtId="0" fontId="1" fillId="22" borderId="6" xfId="0" applyFont="1" applyFill="1" applyBorder="1" applyAlignment="1" applyProtection="1">
      <alignment horizontal="center" vertical="center" wrapText="1"/>
      <protection locked="0"/>
    </xf>
    <xf numFmtId="0" fontId="1" fillId="23" borderId="11" xfId="0" applyFont="1" applyFill="1" applyBorder="1" applyAlignment="1" applyProtection="1">
      <alignment horizontal="center" vertical="center" wrapText="1"/>
    </xf>
    <xf numFmtId="0" fontId="1" fillId="23" borderId="0" xfId="0" applyFont="1" applyFill="1" applyBorder="1" applyAlignment="1" applyProtection="1">
      <alignment horizontal="center" vertical="center" wrapText="1"/>
    </xf>
    <xf numFmtId="0" fontId="1" fillId="23" borderId="12" xfId="0" applyFont="1" applyFill="1" applyBorder="1" applyAlignment="1" applyProtection="1">
      <alignment horizontal="center" vertical="center" wrapText="1"/>
    </xf>
    <xf numFmtId="0" fontId="1" fillId="23" borderId="14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/>
      <protection locked="0"/>
    </xf>
    <xf numFmtId="0" fontId="1" fillId="15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alignment horizontal="center"/>
      <protection locked="0"/>
    </xf>
    <xf numFmtId="0" fontId="0" fillId="17" borderId="4" xfId="0" applyFill="1" applyBorder="1" applyAlignment="1" applyProtection="1">
      <alignment horizontal="center"/>
      <protection locked="0"/>
    </xf>
    <xf numFmtId="0" fontId="0" fillId="15" borderId="2" xfId="0" applyFill="1" applyBorder="1" applyAlignment="1" applyProtection="1">
      <alignment horizontal="center"/>
      <protection locked="0"/>
    </xf>
    <xf numFmtId="0" fontId="0" fillId="15" borderId="4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1" fillId="14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17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66"/>
      <color rgb="FF3CA2BE"/>
      <color rgb="FF32849A"/>
      <color rgb="FFFFDE75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5335058481285541"/>
          <c:y val="6.727997532406188E-2"/>
          <c:w val="0.81979968602922371"/>
          <c:h val="0.55503711633335262"/>
        </c:manualLayout>
      </c:layout>
      <c:barChart>
        <c:barDir val="col"/>
        <c:grouping val="clustered"/>
        <c:ser>
          <c:idx val="0"/>
          <c:order val="0"/>
          <c:tx>
            <c:strRef>
              <c:f>'Cartes 1 &amp; 2'!$C$6:$E$6</c:f>
              <c:strCache>
                <c:ptCount val="1"/>
                <c:pt idx="0">
                  <c:v>Nombre de bénéficiaires</c:v>
                </c:pt>
              </c:strCache>
            </c:strRef>
          </c:tx>
          <c:dLbls>
            <c:numFmt formatCode="0.0%" sourceLinked="0"/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Val val="1"/>
          </c:dLbls>
          <c:cat>
            <c:strRef>
              <c:f>'Cartes 1 &amp; 2'!$B$8:$B$21</c:f>
              <c:strCache>
                <c:ptCount val="14"/>
                <c:pt idx="0">
                  <c:v>Auvergne-Rhône-Alpes</c:v>
                </c:pt>
                <c:pt idx="1">
                  <c:v>Bourgogne-Franche-Comté</c:v>
                </c:pt>
                <c:pt idx="2">
                  <c:v>Bretagne</c:v>
                </c:pt>
                <c:pt idx="3">
                  <c:v>Centre-Val de Loire</c:v>
                </c:pt>
                <c:pt idx="4">
                  <c:v>Corse</c:v>
                </c:pt>
                <c:pt idx="5">
                  <c:v>Grand Est</c:v>
                </c:pt>
                <c:pt idx="6">
                  <c:v>Hauts-de-France</c:v>
                </c:pt>
                <c:pt idx="7">
                  <c:v>Ile-de-France</c:v>
                </c:pt>
                <c:pt idx="8">
                  <c:v>Normandie</c:v>
                </c:pt>
                <c:pt idx="9">
                  <c:v>Nouvelle-Aquitaine</c:v>
                </c:pt>
                <c:pt idx="10">
                  <c:v>Occitanie</c:v>
                </c:pt>
                <c:pt idx="11">
                  <c:v>Pays de la Loire</c:v>
                </c:pt>
                <c:pt idx="12">
                  <c:v>Provence-Alpes-Côte d'Azur</c:v>
                </c:pt>
                <c:pt idx="13">
                  <c:v>DOM</c:v>
                </c:pt>
              </c:strCache>
            </c:strRef>
          </c:cat>
          <c:val>
            <c:numRef>
              <c:f>'Cartes 1 &amp; 2'!$D$8:$D$21</c:f>
              <c:numCache>
                <c:formatCode>0.00%</c:formatCode>
                <c:ptCount val="14"/>
                <c:pt idx="0">
                  <c:v>6.5598435090658505E-2</c:v>
                </c:pt>
                <c:pt idx="1">
                  <c:v>1.6954744450398129E-2</c:v>
                </c:pt>
                <c:pt idx="2">
                  <c:v>2.3866739358827067E-2</c:v>
                </c:pt>
                <c:pt idx="3">
                  <c:v>7.7052130106487777E-3</c:v>
                </c:pt>
                <c:pt idx="4">
                  <c:v>6.4557190089219486E-3</c:v>
                </c:pt>
                <c:pt idx="5">
                  <c:v>0.49126173155533925</c:v>
                </c:pt>
                <c:pt idx="6">
                  <c:v>0.11593151649729862</c:v>
                </c:pt>
                <c:pt idx="7">
                  <c:v>2.7299338048964252E-2</c:v>
                </c:pt>
                <c:pt idx="8">
                  <c:v>1.506412431295379E-2</c:v>
                </c:pt>
                <c:pt idx="9">
                  <c:v>8.3533587755894728E-2</c:v>
                </c:pt>
                <c:pt idx="10">
                  <c:v>7.128901451425336E-2</c:v>
                </c:pt>
                <c:pt idx="11">
                  <c:v>1.5635054156439458E-2</c:v>
                </c:pt>
                <c:pt idx="12">
                  <c:v>5.839395563126356E-2</c:v>
                </c:pt>
                <c:pt idx="13">
                  <c:v>1.0108266081385582E-3</c:v>
                </c:pt>
              </c:numCache>
            </c:numRef>
          </c:val>
        </c:ser>
        <c:axId val="37167872"/>
        <c:axId val="37169408"/>
      </c:barChart>
      <c:catAx>
        <c:axId val="37167872"/>
        <c:scaling>
          <c:orientation val="minMax"/>
        </c:scaling>
        <c:axPos val="b"/>
        <c:tickLblPos val="nextTo"/>
        <c:crossAx val="37169408"/>
        <c:crosses val="autoZero"/>
        <c:auto val="1"/>
        <c:lblAlgn val="ctr"/>
        <c:lblOffset val="100"/>
      </c:catAx>
      <c:valAx>
        <c:axId val="37169408"/>
        <c:scaling>
          <c:orientation val="minMax"/>
        </c:scaling>
        <c:axPos val="l"/>
        <c:majorGridlines/>
        <c:numFmt formatCode="0.00%" sourceLinked="1"/>
        <c:tickLblPos val="nextTo"/>
        <c:crossAx val="37167872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view3D>
      <c:rotX val="30"/>
      <c:rotY val="40"/>
      <c:perspective val="30"/>
    </c:view3D>
    <c:plotArea>
      <c:layout>
        <c:manualLayout>
          <c:layoutTarget val="inner"/>
          <c:xMode val="edge"/>
          <c:yMode val="edge"/>
          <c:x val="1.1498799616873104E-3"/>
          <c:y val="0.11909416281642519"/>
          <c:w val="0.71338261095741407"/>
          <c:h val="0.8180129990714945"/>
        </c:manualLayout>
      </c:layout>
      <c:pie3DChart>
        <c:varyColors val="1"/>
        <c:ser>
          <c:idx val="0"/>
          <c:order val="0"/>
          <c:dLbls>
            <c:dLblPos val="inEnd"/>
            <c:showPercent val="1"/>
            <c:showLeaderLines val="1"/>
          </c:dLbls>
          <c:cat>
            <c:strRef>
              <c:f>'Graphique 5'!$B$34:$B$39</c:f>
              <c:strCache>
                <c:ptCount val="6"/>
                <c:pt idx="0">
                  <c:v>Algérie</c:v>
                </c:pt>
                <c:pt idx="1">
                  <c:v>Nouvelle-Calédonie</c:v>
                </c:pt>
                <c:pt idx="2">
                  <c:v>Québec *</c:v>
                </c:pt>
                <c:pt idx="3">
                  <c:v>Polynésie Française</c:v>
                </c:pt>
                <c:pt idx="4">
                  <c:v>Turquie</c:v>
                </c:pt>
                <c:pt idx="5">
                  <c:v>Autres pays</c:v>
                </c:pt>
              </c:strCache>
            </c:strRef>
          </c:cat>
          <c:val>
            <c:numRef>
              <c:f>'Graphique 5'!$C$34:$C$39</c:f>
              <c:numCache>
                <c:formatCode>#,##0</c:formatCode>
                <c:ptCount val="6"/>
                <c:pt idx="0">
                  <c:v>12946</c:v>
                </c:pt>
                <c:pt idx="1">
                  <c:v>817</c:v>
                </c:pt>
                <c:pt idx="2">
                  <c:v>315</c:v>
                </c:pt>
                <c:pt idx="3">
                  <c:v>309</c:v>
                </c:pt>
                <c:pt idx="4">
                  <c:v>227</c:v>
                </c:pt>
                <c:pt idx="5">
                  <c:v>449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209998631690063"/>
          <c:y val="0.10809121907721449"/>
          <c:w val="0.29790013024190631"/>
          <c:h val="0.82506714905194323"/>
        </c:manualLayout>
      </c:layout>
    </c:legend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plotArea>
      <c:layout>
        <c:manualLayout>
          <c:layoutTarget val="inner"/>
          <c:xMode val="edge"/>
          <c:yMode val="edge"/>
          <c:x val="3.5031013261997507E-2"/>
          <c:y val="3.7037181991490684E-2"/>
          <c:w val="0.93888888888889765"/>
          <c:h val="0.798699693788301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numFmt formatCode="#,##0" sourceLinked="0"/>
            <c:dLblPos val="outEnd"/>
            <c:showVal val="1"/>
          </c:dLbls>
          <c:cat>
            <c:strRef>
              <c:f>'Graphique 5'!$B$34:$B$38</c:f>
              <c:strCache>
                <c:ptCount val="5"/>
                <c:pt idx="0">
                  <c:v>Algérie</c:v>
                </c:pt>
                <c:pt idx="1">
                  <c:v>Nouvelle-Calédonie</c:v>
                </c:pt>
                <c:pt idx="2">
                  <c:v>Québec *</c:v>
                </c:pt>
                <c:pt idx="3">
                  <c:v>Polynésie Française</c:v>
                </c:pt>
                <c:pt idx="4">
                  <c:v>Turquie</c:v>
                </c:pt>
              </c:strCache>
            </c:strRef>
          </c:cat>
          <c:val>
            <c:numRef>
              <c:f>'Graphique 5'!$C$34:$C$38</c:f>
              <c:numCache>
                <c:formatCode>#,##0</c:formatCode>
                <c:ptCount val="5"/>
                <c:pt idx="0">
                  <c:v>12946</c:v>
                </c:pt>
                <c:pt idx="1">
                  <c:v>817</c:v>
                </c:pt>
                <c:pt idx="2">
                  <c:v>315</c:v>
                </c:pt>
                <c:pt idx="3">
                  <c:v>309</c:v>
                </c:pt>
                <c:pt idx="4">
                  <c:v>227</c:v>
                </c:pt>
              </c:numCache>
            </c:numRef>
          </c:val>
        </c:ser>
        <c:gapWidth val="76"/>
        <c:axId val="81645952"/>
        <c:axId val="81647488"/>
      </c:barChart>
      <c:catAx>
        <c:axId val="816459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81647488"/>
        <c:crosses val="autoZero"/>
        <c:auto val="1"/>
        <c:lblAlgn val="ctr"/>
        <c:lblOffset val="100"/>
        <c:tickLblSkip val="1"/>
      </c:catAx>
      <c:valAx>
        <c:axId val="81647488"/>
        <c:scaling>
          <c:orientation val="minMax"/>
        </c:scaling>
        <c:delete val="1"/>
        <c:axPos val="l"/>
        <c:numFmt formatCode="#,##0" sourceLinked="1"/>
        <c:tickLblPos val="none"/>
        <c:crossAx val="81645952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4987996168731E-3"/>
          <c:y val="0.18913297721952538"/>
          <c:w val="0.65498853121130263"/>
          <c:h val="0.7479739271455873"/>
        </c:manualLayout>
      </c:layout>
      <c:pie3DChart>
        <c:varyColors val="1"/>
        <c:ser>
          <c:idx val="0"/>
          <c:order val="0"/>
          <c:dLbls>
            <c:dLblPos val="inEnd"/>
            <c:showPercent val="1"/>
          </c:dLbls>
          <c:cat>
            <c:strRef>
              <c:f>'Graphique 6'!$B$36:$B$41</c:f>
              <c:strCache>
                <c:ptCount val="6"/>
                <c:pt idx="0">
                  <c:v>Algérie</c:v>
                </c:pt>
                <c:pt idx="1">
                  <c:v>Nouvelle-Calédonie</c:v>
                </c:pt>
                <c:pt idx="2">
                  <c:v>Polynésie Française</c:v>
                </c:pt>
                <c:pt idx="3">
                  <c:v>Andorre</c:v>
                </c:pt>
                <c:pt idx="4">
                  <c:v>Turquie</c:v>
                </c:pt>
                <c:pt idx="5">
                  <c:v>Autres pays</c:v>
                </c:pt>
              </c:strCache>
            </c:strRef>
          </c:cat>
          <c:val>
            <c:numRef>
              <c:f>'Graphique 6'!$C$36:$C$41</c:f>
              <c:numCache>
                <c:formatCode>#,##0.00,," M€"</c:formatCode>
                <c:ptCount val="6"/>
                <c:pt idx="0">
                  <c:v>50008521.240000002</c:v>
                </c:pt>
                <c:pt idx="1">
                  <c:v>2575937.6799999997</c:v>
                </c:pt>
                <c:pt idx="2">
                  <c:v>956480.12</c:v>
                </c:pt>
                <c:pt idx="3">
                  <c:v>832118.28</c:v>
                </c:pt>
                <c:pt idx="4">
                  <c:v>695873.98</c:v>
                </c:pt>
                <c:pt idx="5">
                  <c:v>1100844.2160000007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209998631690063"/>
          <c:y val="0.17193423136158142"/>
          <c:w val="0.2850744486323093"/>
          <c:h val="0.67098718032146853"/>
        </c:manualLayout>
      </c:layout>
    </c:legend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plotArea>
      <c:layout>
        <c:manualLayout>
          <c:layoutTarget val="inner"/>
          <c:xMode val="edge"/>
          <c:yMode val="edge"/>
          <c:x val="3.0555555555555582E-2"/>
          <c:y val="3.6418464552065266E-2"/>
          <c:w val="0.93888888888889765"/>
          <c:h val="0.820415050256893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5">
                  <a:lumMod val="75000"/>
                </a:schemeClr>
              </a:solidFill>
            </c:spPr>
          </c:dPt>
          <c:cat>
            <c:strRef>
              <c:f>'Graphique 6'!$B$36:$B$40</c:f>
              <c:strCache>
                <c:ptCount val="5"/>
                <c:pt idx="0">
                  <c:v>Algérie</c:v>
                </c:pt>
                <c:pt idx="1">
                  <c:v>Nouvelle-Calédonie</c:v>
                </c:pt>
                <c:pt idx="2">
                  <c:v>Polynésie Française</c:v>
                </c:pt>
                <c:pt idx="3">
                  <c:v>Andorre</c:v>
                </c:pt>
                <c:pt idx="4">
                  <c:v>Turquie</c:v>
                </c:pt>
              </c:strCache>
            </c:strRef>
          </c:cat>
          <c:val>
            <c:numRef>
              <c:f>'Graphique 6'!$C$36:$C$40</c:f>
              <c:numCache>
                <c:formatCode>#,##0.00,," M€"</c:formatCode>
                <c:ptCount val="5"/>
                <c:pt idx="0">
                  <c:v>50008521.240000002</c:v>
                </c:pt>
                <c:pt idx="1">
                  <c:v>2575937.6799999997</c:v>
                </c:pt>
                <c:pt idx="2">
                  <c:v>956480.12</c:v>
                </c:pt>
                <c:pt idx="3">
                  <c:v>832118.28</c:v>
                </c:pt>
                <c:pt idx="4">
                  <c:v>695873.98</c:v>
                </c:pt>
              </c:numCache>
            </c:numRef>
          </c:val>
        </c:ser>
        <c:dLbls>
          <c:showVal val="1"/>
        </c:dLbls>
        <c:gapWidth val="76"/>
        <c:axId val="87465344"/>
        <c:axId val="87487616"/>
      </c:barChart>
      <c:catAx>
        <c:axId val="87465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87487616"/>
        <c:crosses val="autoZero"/>
        <c:auto val="1"/>
        <c:lblAlgn val="ctr"/>
        <c:lblOffset val="100"/>
        <c:tickLblSkip val="1"/>
      </c:catAx>
      <c:valAx>
        <c:axId val="87487616"/>
        <c:scaling>
          <c:orientation val="minMax"/>
        </c:scaling>
        <c:delete val="1"/>
        <c:axPos val="l"/>
        <c:numFmt formatCode="#,##0.00,,&quot; M€&quot;" sourceLinked="1"/>
        <c:tickLblPos val="none"/>
        <c:crossAx val="87465344"/>
        <c:crosses val="autoZero"/>
        <c:crossBetween val="between"/>
      </c:valAx>
      <c:spPr>
        <a:ln>
          <a:noFill/>
        </a:ln>
      </c:spPr>
    </c:plotArea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3"/>
  <c:chart>
    <c:plotArea>
      <c:layout>
        <c:manualLayout>
          <c:layoutTarget val="inner"/>
          <c:xMode val="edge"/>
          <c:yMode val="edge"/>
          <c:x val="0.24902673276951492"/>
          <c:y val="4.9664791901014776E-2"/>
          <c:w val="0.70855973558860719"/>
          <c:h val="0.72397742317610903"/>
        </c:manualLayout>
      </c:layout>
      <c:barChart>
        <c:barDir val="bar"/>
        <c:grouping val="percentStacked"/>
        <c:ser>
          <c:idx val="0"/>
          <c:order val="0"/>
          <c:tx>
            <c:strRef>
              <c:f>'Graphiques 7 &amp; 8'!$B$6</c:f>
              <c:strCache>
                <c:ptCount val="1"/>
                <c:pt idx="0">
                  <c:v>Soins urgents</c:v>
                </c:pt>
              </c:strCache>
            </c:strRef>
          </c:tx>
          <c:cat>
            <c:strRef>
              <c:f>('Graphiques 7 &amp; 8'!$C$33,'Graphiques 7 &amp; 8'!$C$32)</c:f>
              <c:strCache>
                <c:ptCount val="2"/>
                <c:pt idx="0">
                  <c:v>Bénéficiaires = 15 063</c:v>
                </c:pt>
                <c:pt idx="1">
                  <c:v>Dépenses : 56,17 Millions d'€</c:v>
                </c:pt>
              </c:strCache>
            </c:strRef>
          </c:cat>
          <c:val>
            <c:numRef>
              <c:f>('Graphiques 7 &amp; 8'!$Q$6,'Graphiques 7 &amp; 8'!$S$6)</c:f>
              <c:numCache>
                <c:formatCode>#,##0.0</c:formatCode>
                <c:ptCount val="2"/>
                <c:pt idx="0" formatCode="#,##0">
                  <c:v>490</c:v>
                </c:pt>
                <c:pt idx="1">
                  <c:v>1231541.3899999999</c:v>
                </c:pt>
              </c:numCache>
            </c:numRef>
          </c:val>
        </c:ser>
        <c:ser>
          <c:idx val="3"/>
          <c:order val="1"/>
          <c:tx>
            <c:strRef>
              <c:f>'Graphiques 7 &amp; 8'!$B$11</c:f>
              <c:strCache>
                <c:ptCount val="1"/>
                <c:pt idx="0">
                  <c:v>Soins programmés</c:v>
                </c:pt>
              </c:strCache>
            </c:strRef>
          </c:tx>
          <c:cat>
            <c:strRef>
              <c:f>('Graphiques 7 &amp; 8'!$C$33,'Graphiques 7 &amp; 8'!$C$32)</c:f>
              <c:strCache>
                <c:ptCount val="2"/>
                <c:pt idx="0">
                  <c:v>Bénéficiaires = 15 063</c:v>
                </c:pt>
                <c:pt idx="1">
                  <c:v>Dépenses : 56,17 Millions d'€</c:v>
                </c:pt>
              </c:strCache>
            </c:strRef>
          </c:cat>
          <c:val>
            <c:numRef>
              <c:f>('Graphiques 7 &amp; 8'!$Q$11,'Graphiques 7 &amp; 8'!$S$11)</c:f>
              <c:numCache>
                <c:formatCode>#,##0.0</c:formatCode>
                <c:ptCount val="2"/>
                <c:pt idx="0" formatCode="#,##0">
                  <c:v>305</c:v>
                </c:pt>
                <c:pt idx="1">
                  <c:v>1943808.8299999998</c:v>
                </c:pt>
              </c:numCache>
            </c:numRef>
          </c:val>
        </c:ser>
        <c:ser>
          <c:idx val="9"/>
          <c:order val="2"/>
          <c:tx>
            <c:strRef>
              <c:f>'Graphiques 7 &amp; 8'!$B$16</c:f>
              <c:strCache>
                <c:ptCount val="1"/>
                <c:pt idx="0">
                  <c:v>Soins liés à la résidence</c:v>
                </c:pt>
              </c:strCache>
            </c:strRef>
          </c:tx>
          <c:cat>
            <c:strRef>
              <c:f>('Graphiques 7 &amp; 8'!$C$33,'Graphiques 7 &amp; 8'!$C$32)</c:f>
              <c:strCache>
                <c:ptCount val="2"/>
                <c:pt idx="0">
                  <c:v>Bénéficiaires = 15 063</c:v>
                </c:pt>
                <c:pt idx="1">
                  <c:v>Dépenses : 56,17 Millions d'€</c:v>
                </c:pt>
              </c:strCache>
            </c:strRef>
          </c:cat>
          <c:val>
            <c:numRef>
              <c:f>('Graphiques 7 &amp; 8'!$Q$16,'Graphiques 7 &amp; 8'!$S$16)</c:f>
              <c:numCache>
                <c:formatCode>#,##0.0</c:formatCode>
                <c:ptCount val="2"/>
                <c:pt idx="0" formatCode="#,##0">
                  <c:v>14268</c:v>
                </c:pt>
                <c:pt idx="1">
                  <c:v>52994425.296000004</c:v>
                </c:pt>
              </c:numCache>
            </c:numRef>
          </c:val>
        </c:ser>
        <c:overlap val="100"/>
        <c:axId val="87570304"/>
        <c:axId val="87571840"/>
      </c:barChart>
      <c:catAx>
        <c:axId val="87570304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87571840"/>
        <c:crosses val="autoZero"/>
        <c:auto val="1"/>
        <c:lblAlgn val="ctr"/>
        <c:lblOffset val="100"/>
      </c:catAx>
      <c:valAx>
        <c:axId val="87571840"/>
        <c:scaling>
          <c:orientation val="minMax"/>
          <c:min val="0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8757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12853096333254"/>
          <c:y val="0.89313460817397861"/>
          <c:w val="0.80397307762272285"/>
          <c:h val="7.8872515935508133E-2"/>
        </c:manualLayout>
      </c:layout>
    </c:legend>
    <c:plotVisOnly val="1"/>
    <c:dispBlanksAs val="gap"/>
  </c:chart>
  <c:spPr>
    <a:ln w="3175"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498799616872937E-3"/>
          <c:y val="4.1959176590528856E-2"/>
          <c:w val="0.71338261095741407"/>
          <c:h val="0.81801299907149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7.6005780176354357E-2"/>
                  <c:y val="6.1989303223889465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8.4994340162463461E-2"/>
                  <c:y val="7.1123402963059371E-2"/>
                </c:manualLayout>
              </c:layout>
              <c:dLblPos val="bestFit"/>
              <c:showPercent val="1"/>
            </c:dLbl>
            <c:numFmt formatCode="0.0%" sourceLinked="0"/>
            <c:dLblPos val="inEnd"/>
            <c:showPercent val="1"/>
            <c:showLeaderLines val="1"/>
          </c:dLbls>
          <c:cat>
            <c:strRef>
              <c:f>'Graphiques 7 &amp; 8'!$C$21:$C$25</c:f>
              <c:strCache>
                <c:ptCount val="5"/>
                <c:pt idx="0">
                  <c:v>Soins médicaux</c:v>
                </c:pt>
                <c:pt idx="1">
                  <c:v>Soins dentaires</c:v>
                </c:pt>
                <c:pt idx="2">
                  <c:v>Médicaments</c:v>
                </c:pt>
                <c:pt idx="3">
                  <c:v>Hospitalisation</c:v>
                </c:pt>
                <c:pt idx="4">
                  <c:v>Autres prestations</c:v>
                </c:pt>
              </c:strCache>
            </c:strRef>
          </c:cat>
          <c:val>
            <c:numRef>
              <c:f>'Graphiques 7 &amp; 8'!$F$21:$F$25</c:f>
              <c:numCache>
                <c:formatCode>#,##0.0</c:formatCode>
                <c:ptCount val="5"/>
                <c:pt idx="0">
                  <c:v>697192.55</c:v>
                </c:pt>
                <c:pt idx="1">
                  <c:v>45048.919999999991</c:v>
                </c:pt>
                <c:pt idx="2">
                  <c:v>536649.69999999995</c:v>
                </c:pt>
                <c:pt idx="3">
                  <c:v>3690497.5999999996</c:v>
                </c:pt>
                <c:pt idx="4">
                  <c:v>1351405.1800000002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209998631690063"/>
          <c:y val="0.17193423136158134"/>
          <c:w val="0.2850744486323093"/>
          <c:h val="0.67098718032146853"/>
        </c:manualLayout>
      </c:layout>
    </c:legend>
    <c:plotVisOnly val="1"/>
    <c:dispBlanksAs val="zero"/>
  </c:chart>
  <c:spPr>
    <a:ln w="3175"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0.27844663167104688"/>
          <c:y val="5.0925925925925923E-2"/>
          <c:w val="0.67358814523184607"/>
          <c:h val="0.79869969378830785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F79646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numFmt formatCode="#,##0\ &quot;€&quot;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End"/>
            <c:showVal val="1"/>
          </c:dLbls>
          <c:cat>
            <c:strRef>
              <c:f>'Graphiques 7 &amp; 8'!$B$81:$B$84</c:f>
              <c:strCache>
                <c:ptCount val="4"/>
                <c:pt idx="0">
                  <c:v>Tous type de soins</c:v>
                </c:pt>
                <c:pt idx="1">
                  <c:v>Soins liés à la résidence</c:v>
                </c:pt>
                <c:pt idx="2">
                  <c:v>Soins programmés</c:v>
                </c:pt>
                <c:pt idx="3">
                  <c:v>Soins urgents</c:v>
                </c:pt>
              </c:strCache>
            </c:strRef>
          </c:cat>
          <c:val>
            <c:numRef>
              <c:f>'Graphiques 7 &amp; 8'!$C$81:$C$84</c:f>
              <c:numCache>
                <c:formatCode>#,##0.00</c:formatCode>
                <c:ptCount val="4"/>
                <c:pt idx="0">
                  <c:v>3728.9899433047867</c:v>
                </c:pt>
                <c:pt idx="1">
                  <c:v>3714.2153978132887</c:v>
                </c:pt>
                <c:pt idx="2">
                  <c:v>6373.1437049180322</c:v>
                </c:pt>
                <c:pt idx="3">
                  <c:v>2513.3497755102039</c:v>
                </c:pt>
              </c:numCache>
            </c:numRef>
          </c:val>
        </c:ser>
        <c:gapWidth val="80"/>
        <c:overlap val="100"/>
        <c:axId val="87693952"/>
        <c:axId val="87740800"/>
      </c:barChart>
      <c:catAx>
        <c:axId val="8769395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7740800"/>
        <c:crosses val="autoZero"/>
        <c:auto val="1"/>
        <c:lblAlgn val="ctr"/>
        <c:lblOffset val="100"/>
      </c:catAx>
      <c:valAx>
        <c:axId val="8774080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769395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5335058481285541"/>
          <c:y val="7.1260498687664015E-2"/>
          <c:w val="0.81979968602922371"/>
          <c:h val="0.50532152230971161"/>
        </c:manualLayout>
      </c:layout>
      <c:barChart>
        <c:barDir val="col"/>
        <c:grouping val="clustered"/>
        <c:ser>
          <c:idx val="0"/>
          <c:order val="0"/>
          <c:tx>
            <c:strRef>
              <c:f>'Cartes 1 &amp; 2'!$F$6:$H$6</c:f>
              <c:strCache>
                <c:ptCount val="1"/>
                <c:pt idx="0">
                  <c:v>Dépenses (en €)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Val val="1"/>
          </c:dLbls>
          <c:cat>
            <c:strRef>
              <c:f>'Cartes 1 &amp; 2'!$B$8:$B$21</c:f>
              <c:strCache>
                <c:ptCount val="14"/>
                <c:pt idx="0">
                  <c:v>Auvergne-Rhône-Alpes</c:v>
                </c:pt>
                <c:pt idx="1">
                  <c:v>Bourgogne-Franche-Comté</c:v>
                </c:pt>
                <c:pt idx="2">
                  <c:v>Bretagne</c:v>
                </c:pt>
                <c:pt idx="3">
                  <c:v>Centre-Val de Loire</c:v>
                </c:pt>
                <c:pt idx="4">
                  <c:v>Corse</c:v>
                </c:pt>
                <c:pt idx="5">
                  <c:v>Grand Est</c:v>
                </c:pt>
                <c:pt idx="6">
                  <c:v>Hauts-de-France</c:v>
                </c:pt>
                <c:pt idx="7">
                  <c:v>Ile-de-France</c:v>
                </c:pt>
                <c:pt idx="8">
                  <c:v>Normandie</c:v>
                </c:pt>
                <c:pt idx="9">
                  <c:v>Nouvelle-Aquitaine</c:v>
                </c:pt>
                <c:pt idx="10">
                  <c:v>Occitanie</c:v>
                </c:pt>
                <c:pt idx="11">
                  <c:v>Pays de la Loire</c:v>
                </c:pt>
                <c:pt idx="12">
                  <c:v>Provence-Alpes-Côte d'Azur</c:v>
                </c:pt>
                <c:pt idx="13">
                  <c:v>DOM</c:v>
                </c:pt>
              </c:strCache>
            </c:strRef>
          </c:cat>
          <c:val>
            <c:numRef>
              <c:f>'Cartes 1 &amp; 2'!$G$8:$G$21</c:f>
              <c:numCache>
                <c:formatCode>0.0%</c:formatCode>
                <c:ptCount val="14"/>
                <c:pt idx="0">
                  <c:v>7.5618720944276491E-2</c:v>
                </c:pt>
                <c:pt idx="1">
                  <c:v>1.8950512749711389E-2</c:v>
                </c:pt>
                <c:pt idx="2">
                  <c:v>3.4299390972805023E-2</c:v>
                </c:pt>
                <c:pt idx="3">
                  <c:v>9.4587782982467582E-3</c:v>
                </c:pt>
                <c:pt idx="4">
                  <c:v>5.8239846958845739E-3</c:v>
                </c:pt>
                <c:pt idx="5">
                  <c:v>0.34432783555322732</c:v>
                </c:pt>
                <c:pt idx="6">
                  <c:v>8.1465134690761443E-2</c:v>
                </c:pt>
                <c:pt idx="7">
                  <c:v>6.389351854078959E-2</c:v>
                </c:pt>
                <c:pt idx="8">
                  <c:v>2.3726928248269111E-2</c:v>
                </c:pt>
                <c:pt idx="9">
                  <c:v>0.1123691628959238</c:v>
                </c:pt>
                <c:pt idx="10">
                  <c:v>0.11170485080427828</c:v>
                </c:pt>
                <c:pt idx="11">
                  <c:v>1.7936121679293999E-2</c:v>
                </c:pt>
                <c:pt idx="12">
                  <c:v>9.8158275271235731E-2</c:v>
                </c:pt>
                <c:pt idx="13">
                  <c:v>2.2667846552962994E-3</c:v>
                </c:pt>
              </c:numCache>
            </c:numRef>
          </c:val>
        </c:ser>
        <c:axId val="37176832"/>
        <c:axId val="37178368"/>
      </c:barChart>
      <c:catAx>
        <c:axId val="37176832"/>
        <c:scaling>
          <c:orientation val="minMax"/>
        </c:scaling>
        <c:axPos val="b"/>
        <c:tickLblPos val="nextTo"/>
        <c:crossAx val="37178368"/>
        <c:crosses val="autoZero"/>
        <c:auto val="1"/>
        <c:lblAlgn val="ctr"/>
        <c:lblOffset val="100"/>
      </c:catAx>
      <c:valAx>
        <c:axId val="37178368"/>
        <c:scaling>
          <c:orientation val="minMax"/>
        </c:scaling>
        <c:axPos val="l"/>
        <c:majorGridlines/>
        <c:numFmt formatCode="0.0%" sourceLinked="1"/>
        <c:tickLblPos val="nextTo"/>
        <c:crossAx val="37176832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9.2305734510458922E-3"/>
          <c:y val="0.11909412509207112"/>
          <c:w val="0.71338261095741407"/>
          <c:h val="0.8180129990714945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rgbClr val="F7964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accent4">
                  <a:lumMod val="75000"/>
                </a:schemeClr>
              </a:solidFill>
            </c:spPr>
          </c:dPt>
          <c:dLbls>
            <c:dLblPos val="inEnd"/>
            <c:showPercent val="1"/>
            <c:showLeaderLines val="1"/>
          </c:dLbls>
          <c:cat>
            <c:strRef>
              <c:f>'Graphique 1'!$B$42:$B$47</c:f>
              <c:strCache>
                <c:ptCount val="6"/>
                <c:pt idx="0">
                  <c:v>Luxembourg</c:v>
                </c:pt>
                <c:pt idx="1">
                  <c:v>Belgique</c:v>
                </c:pt>
                <c:pt idx="2">
                  <c:v>Royaume-Uni</c:v>
                </c:pt>
                <c:pt idx="3">
                  <c:v>Allemagne</c:v>
                </c:pt>
                <c:pt idx="4">
                  <c:v>Suisse</c:v>
                </c:pt>
                <c:pt idx="5">
                  <c:v>Autres pays</c:v>
                </c:pt>
              </c:strCache>
            </c:strRef>
          </c:cat>
          <c:val>
            <c:numRef>
              <c:f>'Graphique 1'!$C$42:$C$47</c:f>
              <c:numCache>
                <c:formatCode>#,##0</c:formatCode>
                <c:ptCount val="6"/>
                <c:pt idx="0">
                  <c:v>140241</c:v>
                </c:pt>
                <c:pt idx="1">
                  <c:v>78308</c:v>
                </c:pt>
                <c:pt idx="2">
                  <c:v>63699</c:v>
                </c:pt>
                <c:pt idx="3">
                  <c:v>60399</c:v>
                </c:pt>
                <c:pt idx="4">
                  <c:v>23228</c:v>
                </c:pt>
                <c:pt idx="5">
                  <c:v>58648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9998631690063"/>
          <c:y val="0.17193423136158142"/>
          <c:w val="0.2850744486323093"/>
          <c:h val="0.6709871803214685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dPt>
            <c:idx val="0"/>
            <c:spPr>
              <a:solidFill>
                <a:srgbClr val="0070C0"/>
              </a:solidFill>
            </c:spPr>
          </c:dPt>
          <c:dLbls>
            <c:numFmt formatCode="#,##0" sourceLinked="0"/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Val val="1"/>
          </c:dLbls>
          <c:cat>
            <c:strRef>
              <c:f>'Graphique 1'!$B$42:$B$46</c:f>
              <c:strCache>
                <c:ptCount val="5"/>
                <c:pt idx="0">
                  <c:v>Luxembourg</c:v>
                </c:pt>
                <c:pt idx="1">
                  <c:v>Belgique</c:v>
                </c:pt>
                <c:pt idx="2">
                  <c:v>Royaume-Uni</c:v>
                </c:pt>
                <c:pt idx="3">
                  <c:v>Allemagne</c:v>
                </c:pt>
                <c:pt idx="4">
                  <c:v>Suisse</c:v>
                </c:pt>
              </c:strCache>
            </c:strRef>
          </c:cat>
          <c:val>
            <c:numRef>
              <c:f>'Graphique 1'!$C$42:$C$46</c:f>
              <c:numCache>
                <c:formatCode>#,##0</c:formatCode>
                <c:ptCount val="5"/>
                <c:pt idx="0">
                  <c:v>140241</c:v>
                </c:pt>
                <c:pt idx="1">
                  <c:v>78308</c:v>
                </c:pt>
                <c:pt idx="2">
                  <c:v>63699</c:v>
                </c:pt>
                <c:pt idx="3">
                  <c:v>60399</c:v>
                </c:pt>
                <c:pt idx="4">
                  <c:v>23228</c:v>
                </c:pt>
              </c:numCache>
            </c:numRef>
          </c:val>
        </c:ser>
        <c:gapWidth val="76"/>
        <c:axId val="37846400"/>
        <c:axId val="37848192"/>
      </c:barChart>
      <c:catAx>
        <c:axId val="37846400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crossAx val="37848192"/>
        <c:crosses val="autoZero"/>
        <c:auto val="1"/>
        <c:lblAlgn val="ctr"/>
        <c:lblOffset val="100"/>
      </c:catAx>
      <c:valAx>
        <c:axId val="37848192"/>
        <c:scaling>
          <c:orientation val="minMax"/>
        </c:scaling>
        <c:delete val="1"/>
        <c:axPos val="l"/>
        <c:numFmt formatCode="#,##0" sourceLinked="1"/>
        <c:tickLblPos val="none"/>
        <c:crossAx val="37846400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498799616873104E-3"/>
          <c:y val="0.11909416281642519"/>
          <c:w val="0.71338261095741407"/>
          <c:h val="0.8180129990714945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rgbClr val="F7964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accent4">
                  <a:lumMod val="75000"/>
                </a:schemeClr>
              </a:solidFill>
            </c:spPr>
          </c:dPt>
          <c:dLbls>
            <c:dLblPos val="inEnd"/>
            <c:showPercent val="1"/>
            <c:showLeaderLines val="1"/>
          </c:dLbls>
          <c:cat>
            <c:strRef>
              <c:f>'Graphique 2'!$B$42:$B$47</c:f>
              <c:strCache>
                <c:ptCount val="6"/>
                <c:pt idx="0">
                  <c:v>Royaume-Uni</c:v>
                </c:pt>
                <c:pt idx="1">
                  <c:v>Luxembourg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  <c:pt idx="5">
                  <c:v>Autres pays</c:v>
                </c:pt>
              </c:strCache>
            </c:strRef>
          </c:cat>
          <c:val>
            <c:numRef>
              <c:f>'Graphique 2'!$C$42:$C$47</c:f>
              <c:numCache>
                <c:formatCode>#,##0.00,," M€"</c:formatCode>
                <c:ptCount val="6"/>
                <c:pt idx="0">
                  <c:v>194519734</c:v>
                </c:pt>
                <c:pt idx="1">
                  <c:v>182727839.78</c:v>
                </c:pt>
                <c:pt idx="2">
                  <c:v>160165931.44</c:v>
                </c:pt>
                <c:pt idx="3">
                  <c:v>105453095.88000001</c:v>
                </c:pt>
                <c:pt idx="4">
                  <c:v>43484418.450000003</c:v>
                </c:pt>
                <c:pt idx="5">
                  <c:v>158202786.26000011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9998631690063"/>
          <c:y val="0.17193423136158148"/>
          <c:w val="0.2850744486323093"/>
          <c:h val="0.6709871803214685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5848143626126228E-2"/>
          <c:y val="4.9886621315193391E-2"/>
          <c:w val="0.93681564891391433"/>
          <c:h val="0.836500437445320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dPt>
            <c:idx val="0"/>
            <c:spPr>
              <a:solidFill>
                <a:srgbClr val="0070C0"/>
              </a:solidFill>
            </c:spPr>
          </c:dPt>
          <c:dLbls>
            <c:dLblPos val="outEnd"/>
            <c:showVal val="1"/>
          </c:dLbls>
          <c:cat>
            <c:strRef>
              <c:f>'Graphique 2'!$B$42:$B$46</c:f>
              <c:strCache>
                <c:ptCount val="5"/>
                <c:pt idx="0">
                  <c:v>Royaume-Uni</c:v>
                </c:pt>
                <c:pt idx="1">
                  <c:v>Luxembourg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</c:strCache>
            </c:strRef>
          </c:cat>
          <c:val>
            <c:numRef>
              <c:f>'Graphique 2'!$C$42:$C$46</c:f>
              <c:numCache>
                <c:formatCode>#,##0.00,," M€"</c:formatCode>
                <c:ptCount val="5"/>
                <c:pt idx="0">
                  <c:v>194519734</c:v>
                </c:pt>
                <c:pt idx="1">
                  <c:v>182727839.78</c:v>
                </c:pt>
                <c:pt idx="2">
                  <c:v>160165931.44</c:v>
                </c:pt>
                <c:pt idx="3">
                  <c:v>105453095.88000001</c:v>
                </c:pt>
                <c:pt idx="4">
                  <c:v>43484418.450000003</c:v>
                </c:pt>
              </c:numCache>
            </c:numRef>
          </c:val>
        </c:ser>
        <c:gapWidth val="76"/>
        <c:axId val="38056320"/>
        <c:axId val="38057856"/>
      </c:barChart>
      <c:catAx>
        <c:axId val="38056320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crossAx val="38057856"/>
        <c:crosses val="autoZero"/>
        <c:auto val="1"/>
        <c:lblAlgn val="ctr"/>
        <c:lblOffset val="100"/>
      </c:catAx>
      <c:valAx>
        <c:axId val="38057856"/>
        <c:scaling>
          <c:orientation val="minMax"/>
        </c:scaling>
        <c:delete val="1"/>
        <c:axPos val="l"/>
        <c:numFmt formatCode="#,##0.00,,&quot; M€&quot;" sourceLinked="1"/>
        <c:tickLblPos val="none"/>
        <c:crossAx val="38056320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9"/>
  <c:chart>
    <c:plotArea>
      <c:layout>
        <c:manualLayout>
          <c:layoutTarget val="inner"/>
          <c:xMode val="edge"/>
          <c:yMode val="edge"/>
          <c:x val="0.26149738759290608"/>
          <c:y val="5.4426910921849536E-2"/>
          <c:w val="0.69569269261903499"/>
          <c:h val="0.72397742317610891"/>
        </c:manualLayout>
      </c:layout>
      <c:barChart>
        <c:barDir val="bar"/>
        <c:grouping val="percentStacked"/>
        <c:ser>
          <c:idx val="0"/>
          <c:order val="0"/>
          <c:tx>
            <c:strRef>
              <c:f>'Graphiques 3 &amp; 4'!$B$6</c:f>
              <c:strCache>
                <c:ptCount val="1"/>
                <c:pt idx="0">
                  <c:v>Soins médicalement nécessaires</c:v>
                </c:pt>
              </c:strCache>
            </c:strRef>
          </c:tx>
          <c:cat>
            <c:strRef>
              <c:f>('Graphiques 3 &amp; 4'!$C$33,'Graphiques 3 &amp; 4'!$C$32)</c:f>
              <c:strCache>
                <c:ptCount val="2"/>
                <c:pt idx="0">
                  <c:v>Bénéficiaires = 424 523</c:v>
                </c:pt>
                <c:pt idx="1">
                  <c:v>Dépenses : 844,55 Millions d'€</c:v>
                </c:pt>
              </c:strCache>
            </c:strRef>
          </c:cat>
          <c:val>
            <c:numRef>
              <c:f>('Graphiques 3 &amp; 4'!$Q$6,'Graphiques 3 &amp; 4'!$S$6)</c:f>
              <c:numCache>
                <c:formatCode>_-* #,##0\ _€_-;\-* #,##0\ _€_-;_-* "-"??\ _€_-;_-@_-</c:formatCode>
                <c:ptCount val="2"/>
                <c:pt idx="0" formatCode="#,##0">
                  <c:v>69221</c:v>
                </c:pt>
                <c:pt idx="1">
                  <c:v>166298633.10000002</c:v>
                </c:pt>
              </c:numCache>
            </c:numRef>
          </c:val>
        </c:ser>
        <c:ser>
          <c:idx val="5"/>
          <c:order val="1"/>
          <c:tx>
            <c:strRef>
              <c:f>'Graphiques 3 &amp; 4'!$B$11</c:f>
              <c:strCache>
                <c:ptCount val="1"/>
                <c:pt idx="0">
                  <c:v>Soins programmés</c:v>
                </c:pt>
              </c:strCache>
            </c:strRef>
          </c:tx>
          <c:cat>
            <c:strRef>
              <c:f>('Graphiques 3 &amp; 4'!$C$33,'Graphiques 3 &amp; 4'!$C$32)</c:f>
              <c:strCache>
                <c:ptCount val="2"/>
                <c:pt idx="0">
                  <c:v>Bénéficiaires = 424 523</c:v>
                </c:pt>
                <c:pt idx="1">
                  <c:v>Dépenses : 844,55 Millions d'€</c:v>
                </c:pt>
              </c:strCache>
            </c:strRef>
          </c:cat>
          <c:val>
            <c:numRef>
              <c:f>('Graphiques 3 &amp; 4'!$Q$11,'Graphiques 3 &amp; 4'!$S$11)</c:f>
              <c:numCache>
                <c:formatCode>_-* #,##0\ _€_-;\-* #,##0\ _€_-;_-* "-"??\ _€_-;_-@_-</c:formatCode>
                <c:ptCount val="2"/>
                <c:pt idx="0" formatCode="#,##0">
                  <c:v>3366</c:v>
                </c:pt>
                <c:pt idx="1">
                  <c:v>22386773.050000004</c:v>
                </c:pt>
              </c:numCache>
            </c:numRef>
          </c:val>
        </c:ser>
        <c:ser>
          <c:idx val="10"/>
          <c:order val="2"/>
          <c:tx>
            <c:strRef>
              <c:f>'Graphiques 3 &amp; 4'!$B$16</c:f>
              <c:strCache>
                <c:ptCount val="1"/>
                <c:pt idx="0">
                  <c:v>Soins liés à la résidence</c:v>
                </c:pt>
              </c:strCache>
            </c:strRef>
          </c:tx>
          <c:cat>
            <c:strRef>
              <c:f>('Graphiques 3 &amp; 4'!$C$33,'Graphiques 3 &amp; 4'!$C$32)</c:f>
              <c:strCache>
                <c:ptCount val="2"/>
                <c:pt idx="0">
                  <c:v>Bénéficiaires = 424 523</c:v>
                </c:pt>
                <c:pt idx="1">
                  <c:v>Dépenses : 844,55 Millions d'€</c:v>
                </c:pt>
              </c:strCache>
            </c:strRef>
          </c:cat>
          <c:val>
            <c:numRef>
              <c:f>('Graphiques 3 &amp; 4'!$Q$16,'Graphiques 3 &amp; 4'!$S$16)</c:f>
              <c:numCache>
                <c:formatCode>_-* #,##0\ _€_-;\-* #,##0\ _€_-;_-* "-"??\ _€_-;_-@_-</c:formatCode>
                <c:ptCount val="2"/>
                <c:pt idx="0" formatCode="#,##0">
                  <c:v>351936</c:v>
                </c:pt>
                <c:pt idx="1">
                  <c:v>655868399.65999997</c:v>
                </c:pt>
              </c:numCache>
            </c:numRef>
          </c:val>
        </c:ser>
        <c:overlap val="100"/>
        <c:axId val="38223872"/>
        <c:axId val="38225408"/>
      </c:barChart>
      <c:catAx>
        <c:axId val="3822387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8225408"/>
        <c:crosses val="autoZero"/>
        <c:auto val="1"/>
        <c:lblAlgn val="ctr"/>
        <c:lblOffset val="100"/>
      </c:catAx>
      <c:valAx>
        <c:axId val="38225408"/>
        <c:scaling>
          <c:orientation val="minMax"/>
          <c:min val="0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8223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237441854424168E-2"/>
          <c:y val="0.89313460817397861"/>
          <c:w val="0.90958363867882863"/>
          <c:h val="7.8872515935508133E-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9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3094376236145924E-3"/>
          <c:y val="4.7468818463807717E-2"/>
          <c:w val="0.71338261095741407"/>
          <c:h val="0.8180129990714945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9.8425321242427768E-2"/>
                  <c:y val="6.6806359948808139E-2"/>
                </c:manualLayout>
              </c:layout>
              <c:showPercent val="1"/>
            </c:dLbl>
            <c:numFmt formatCode="0.0%" sourceLinked="0"/>
            <c:showPercent val="1"/>
            <c:showLeaderLines val="1"/>
          </c:dLbls>
          <c:cat>
            <c:strRef>
              <c:f>'Graphiques 3 &amp; 4'!$C$21:$C$25</c:f>
              <c:strCache>
                <c:ptCount val="5"/>
                <c:pt idx="0">
                  <c:v>Soins médicaux</c:v>
                </c:pt>
                <c:pt idx="1">
                  <c:v>Soins dentaires</c:v>
                </c:pt>
                <c:pt idx="2">
                  <c:v>Médicaments</c:v>
                </c:pt>
                <c:pt idx="3">
                  <c:v>Hospitalisation</c:v>
                </c:pt>
                <c:pt idx="4">
                  <c:v>Autres prestations</c:v>
                </c:pt>
              </c:strCache>
            </c:strRef>
          </c:cat>
          <c:val>
            <c:numRef>
              <c:f>'Graphiques 3 &amp; 4'!$F$21:$F$25</c:f>
              <c:numCache>
                <c:formatCode>_-* #,##0\ _€_-;\-* #,##0\ _€_-;_-* "-"??\ _€_-;_-@_-</c:formatCode>
                <c:ptCount val="5"/>
                <c:pt idx="0">
                  <c:v>117070199.86999999</c:v>
                </c:pt>
                <c:pt idx="1">
                  <c:v>16445410.890000001</c:v>
                </c:pt>
                <c:pt idx="2">
                  <c:v>111671402.66</c:v>
                </c:pt>
                <c:pt idx="3">
                  <c:v>423533823.38999999</c:v>
                </c:pt>
                <c:pt idx="4">
                  <c:v>175815707.97999999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209998631690063"/>
          <c:y val="0.17193423136158137"/>
          <c:w val="0.2850744486323093"/>
          <c:h val="0.67098718032146853"/>
        </c:manualLayout>
      </c:layout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0.27844663167104688"/>
          <c:y val="5.0925925925925923E-2"/>
          <c:w val="0.67358814523184607"/>
          <c:h val="0.79869969378830774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F79646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numFmt formatCode="#,##0\ \€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inEnd"/>
            <c:showVal val="1"/>
          </c:dLbls>
          <c:cat>
            <c:strRef>
              <c:f>'Graphiques 3 &amp; 4'!$B$81:$B$84</c:f>
              <c:strCache>
                <c:ptCount val="4"/>
                <c:pt idx="0">
                  <c:v>Tous type de soins</c:v>
                </c:pt>
                <c:pt idx="1">
                  <c:v>Soins liés à la résidence</c:v>
                </c:pt>
                <c:pt idx="2">
                  <c:v>Soins programmés</c:v>
                </c:pt>
                <c:pt idx="3">
                  <c:v>Soins médicalement nécessaires</c:v>
                </c:pt>
              </c:strCache>
            </c:strRef>
          </c:cat>
          <c:val>
            <c:numRef>
              <c:f>'Graphiques 3 &amp; 4'!$C$81:$C$84</c:f>
              <c:numCache>
                <c:formatCode>#,##0.00</c:formatCode>
                <c:ptCount val="4"/>
                <c:pt idx="0">
                  <c:v>1989.4182548648716</c:v>
                </c:pt>
                <c:pt idx="1">
                  <c:v>1863.6013356405708</c:v>
                </c:pt>
                <c:pt idx="2">
                  <c:v>6650.8535502079631</c:v>
                </c:pt>
                <c:pt idx="3">
                  <c:v>2402.4303766198123</c:v>
                </c:pt>
              </c:numCache>
            </c:numRef>
          </c:val>
        </c:ser>
        <c:gapWidth val="80"/>
        <c:overlap val="100"/>
        <c:axId val="38544128"/>
        <c:axId val="38545664"/>
      </c:barChart>
      <c:catAx>
        <c:axId val="3854412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8545664"/>
        <c:crosses val="autoZero"/>
        <c:auto val="1"/>
        <c:lblAlgn val="ctr"/>
        <c:lblOffset val="100"/>
      </c:catAx>
      <c:valAx>
        <c:axId val="38545664"/>
        <c:scaling>
          <c:orientation val="minMax"/>
          <c:max val="8000"/>
        </c:scaling>
        <c:axPos val="b"/>
        <c:majorGridlines>
          <c:spPr>
            <a:ln>
              <a:prstDash val="dash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854412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18</xdr:col>
      <xdr:colOff>1</xdr:colOff>
      <xdr:row>34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761999</xdr:colOff>
      <xdr:row>36</xdr:row>
      <xdr:rowOff>0</xdr:rowOff>
    </xdr:from>
    <xdr:to>
      <xdr:col>18</xdr:col>
      <xdr:colOff>0</xdr:colOff>
      <xdr:row>52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10</xdr:col>
      <xdr:colOff>733425</xdr:colOff>
      <xdr:row>35</xdr:row>
      <xdr:rowOff>85725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12</xdr:col>
      <xdr:colOff>1008064</xdr:colOff>
      <xdr:row>17</xdr:row>
      <xdr:rowOff>78581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0.64804</cdr:x>
      <cdr:y>0.17369</cdr:y>
    </cdr:from>
    <cdr:to>
      <cdr:x>0.81888</cdr:x>
      <cdr:y>0.29001</cdr:y>
    </cdr:to>
    <cdr:sp macro="" textlink="'Graphique 5'!$I$6">
      <cdr:nvSpPr>
        <cdr:cNvPr id="2" name="ZoneTexte 1"/>
        <cdr:cNvSpPr txBox="1"/>
      </cdr:nvSpPr>
      <cdr:spPr>
        <a:xfrm xmlns:a="http://schemas.openxmlformats.org/drawingml/2006/main">
          <a:off x="3677830" y="443792"/>
          <a:ext cx="969577" cy="297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42AE2BB-141B-4231-8182-5754602DC251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 = 15 063</a:t>
          </a:fld>
          <a:endParaRPr lang="fr-FR" sz="14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11</xdr:col>
      <xdr:colOff>625475</xdr:colOff>
      <xdr:row>35</xdr:row>
      <xdr:rowOff>74083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12</xdr:col>
      <xdr:colOff>892969</xdr:colOff>
      <xdr:row>16</xdr:row>
      <xdr:rowOff>166688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0.65657</cdr:x>
      <cdr:y>0.04775</cdr:y>
    </cdr:from>
    <cdr:to>
      <cdr:x>0.99195</cdr:x>
      <cdr:y>0.17756</cdr:y>
    </cdr:to>
    <cdr:sp macro="" textlink="'Graphique 6'!$H$6">
      <cdr:nvSpPr>
        <cdr:cNvPr id="2" name="ZoneTexte 1"/>
        <cdr:cNvSpPr txBox="1"/>
      </cdr:nvSpPr>
      <cdr:spPr>
        <a:xfrm xmlns:a="http://schemas.openxmlformats.org/drawingml/2006/main">
          <a:off x="3869531" y="117116"/>
          <a:ext cx="1976621" cy="318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4D765B1-0B71-46E3-BFC7-766646350FC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Dépenses = 56,17 Millions d'€</a:t>
          </a:fld>
          <a:endParaRPr lang="fr-FR" sz="14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6</xdr:col>
      <xdr:colOff>0</xdr:colOff>
      <xdr:row>44</xdr:row>
      <xdr:rowOff>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147638</xdr:rowOff>
    </xdr:from>
    <xdr:to>
      <xdr:col>5</xdr:col>
      <xdr:colOff>0</xdr:colOff>
      <xdr:row>60</xdr:row>
      <xdr:rowOff>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5</xdr:col>
      <xdr:colOff>333375</xdr:colOff>
      <xdr:row>77</xdr:row>
      <xdr:rowOff>76200</xdr:rowOff>
    </xdr:to>
    <xdr:graphicFrame macro="">
      <xdr:nvGraphicFramePr>
        <xdr:cNvPr id="4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0.00948</cdr:x>
      <cdr:y>0.85124</cdr:y>
    </cdr:from>
    <cdr:to>
      <cdr:x>0.57701</cdr:x>
      <cdr:y>0.94929</cdr:y>
    </cdr:to>
    <cdr:sp macro="" textlink="'Graphiques 7 &amp; 8'!$C$32">
      <cdr:nvSpPr>
        <cdr:cNvPr id="2" name="ZoneTexte 1"/>
        <cdr:cNvSpPr txBox="1"/>
      </cdr:nvSpPr>
      <cdr:spPr>
        <a:xfrm xmlns:a="http://schemas.openxmlformats.org/drawingml/2006/main">
          <a:off x="40182" y="1718909"/>
          <a:ext cx="2405547" cy="19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9F7DCDA-B4EF-43FA-A201-DCC78FABA0C4}" type="TxLink">
            <a:rPr lang="en-US" sz="1200" b="0" i="0" u="none" strike="noStrike">
              <a:solidFill>
                <a:srgbClr val="000000"/>
              </a:solidFill>
              <a:latin typeface="Gill Sans MT"/>
            </a:rPr>
            <a:pPr/>
            <a:t>Dépenses : 56,17 Millions d'€</a:t>
          </a:fld>
          <a:endParaRPr lang="fr-FR" sz="12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0.56751</cdr:x>
      <cdr:y>0.08014</cdr:y>
    </cdr:from>
    <cdr:to>
      <cdr:x>0.98856</cdr:x>
      <cdr:y>0.14983</cdr:y>
    </cdr:to>
    <cdr:sp macro="" textlink="'Cartes 1 &amp; 2'!$M$19">
      <cdr:nvSpPr>
        <cdr:cNvPr id="2" name="ZoneTexte 1"/>
        <cdr:cNvSpPr txBox="1"/>
      </cdr:nvSpPr>
      <cdr:spPr>
        <a:xfrm xmlns:a="http://schemas.openxmlformats.org/drawingml/2006/main">
          <a:off x="2952750" y="273844"/>
          <a:ext cx="2190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FB7CE0F-2EA3-4E6C-86D9-14814F175FF9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Nombre de bénéficiaires = 439 586</a:t>
          </a:fld>
          <a:endParaRPr lang="fr-FR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0.62471</cdr:x>
      <cdr:y>0.04687</cdr:y>
    </cdr:from>
    <cdr:to>
      <cdr:x>0.99085</cdr:x>
      <cdr:y>0.13281</cdr:y>
    </cdr:to>
    <cdr:sp macro="" textlink="'Cartes 1 &amp; 2'!$M$39">
      <cdr:nvSpPr>
        <cdr:cNvPr id="2" name="ZoneTexte 1"/>
        <cdr:cNvSpPr txBox="1"/>
      </cdr:nvSpPr>
      <cdr:spPr>
        <a:xfrm xmlns:a="http://schemas.openxmlformats.org/drawingml/2006/main">
          <a:off x="3250407" y="142874"/>
          <a:ext cx="1904999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C56AEF0-E526-4D2D-BDA6-2DB7B9FCDDBD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Dépenses = 900,72 millions d'€</a:t>
          </a:fld>
          <a:endParaRPr lang="fr-FR" sz="105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971549</xdr:colOff>
      <xdr:row>21</xdr:row>
      <xdr:rowOff>19050</xdr:rowOff>
    </xdr:from>
    <xdr:to>
      <xdr:col>10</xdr:col>
      <xdr:colOff>838200</xdr:colOff>
      <xdr:row>33</xdr:row>
      <xdr:rowOff>28575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0</xdr:rowOff>
    </xdr:from>
    <xdr:to>
      <xdr:col>11</xdr:col>
      <xdr:colOff>0</xdr:colOff>
      <xdr:row>18</xdr:row>
      <xdr:rowOff>133350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0.69654</cdr:x>
      <cdr:y>0.07313</cdr:y>
    </cdr:from>
    <cdr:to>
      <cdr:x>0.96102</cdr:x>
      <cdr:y>0.18367</cdr:y>
    </cdr:to>
    <cdr:sp macro="" textlink="'Graphique 1'!$H$6">
      <cdr:nvSpPr>
        <cdr:cNvPr id="2" name="ZoneTexte 1"/>
        <cdr:cNvSpPr txBox="1"/>
      </cdr:nvSpPr>
      <cdr:spPr>
        <a:xfrm xmlns:a="http://schemas.openxmlformats.org/drawingml/2006/main">
          <a:off x="2978925" y="204788"/>
          <a:ext cx="1131111" cy="3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1703531-F751-4A25-A521-2FC95159DA6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n = 424 523</a:t>
          </a:fld>
          <a:endParaRPr lang="fr-FR" sz="14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20</xdr:row>
      <xdr:rowOff>152401</xdr:rowOff>
    </xdr:from>
    <xdr:to>
      <xdr:col>10</xdr:col>
      <xdr:colOff>828675</xdr:colOff>
      <xdr:row>39</xdr:row>
      <xdr:rowOff>19051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</xdr:row>
      <xdr:rowOff>0</xdr:rowOff>
    </xdr:from>
    <xdr:to>
      <xdr:col>11</xdr:col>
      <xdr:colOff>0</xdr:colOff>
      <xdr:row>18</xdr:row>
      <xdr:rowOff>133350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0.50189</cdr:x>
      <cdr:y>0.03316</cdr:y>
    </cdr:from>
    <cdr:to>
      <cdr:x>0.97577</cdr:x>
      <cdr:y>0.16071</cdr:y>
    </cdr:to>
    <cdr:sp macro="" textlink="'Graphique 2'!$H$6">
      <cdr:nvSpPr>
        <cdr:cNvPr id="2" name="ZoneTexte 1"/>
        <cdr:cNvSpPr txBox="1"/>
      </cdr:nvSpPr>
      <cdr:spPr>
        <a:xfrm xmlns:a="http://schemas.openxmlformats.org/drawingml/2006/main">
          <a:off x="2219327" y="92873"/>
          <a:ext cx="2095510" cy="3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BA8CBB7-626E-4FD3-8BDF-35B185DC456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Dépenses = 844,55 Millions d'€</a:t>
          </a:fld>
          <a:endParaRPr lang="fr-FR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5</xdr:col>
      <xdr:colOff>571500</xdr:colOff>
      <xdr:row>44</xdr:row>
      <xdr:rowOff>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4</xdr:col>
      <xdr:colOff>542925</xdr:colOff>
      <xdr:row>60</xdr:row>
      <xdr:rowOff>19050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5</xdr:col>
      <xdr:colOff>333375</xdr:colOff>
      <xdr:row>77</xdr:row>
      <xdr:rowOff>76200</xdr:rowOff>
    </xdr:to>
    <xdr:graphicFrame macro="">
      <xdr:nvGraphicFramePr>
        <xdr:cNvPr id="4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0.0237</cdr:x>
      <cdr:y>0.85537</cdr:y>
    </cdr:from>
    <cdr:to>
      <cdr:x>0.58294</cdr:x>
      <cdr:y>0.96108</cdr:y>
    </cdr:to>
    <cdr:sp macro="" textlink="'Graphiques 3 &amp; 4'!$C$32">
      <cdr:nvSpPr>
        <cdr:cNvPr id="2" name="ZoneTexte 1"/>
        <cdr:cNvSpPr txBox="1"/>
      </cdr:nvSpPr>
      <cdr:spPr>
        <a:xfrm xmlns:a="http://schemas.openxmlformats.org/drawingml/2006/main">
          <a:off x="95262" y="1727249"/>
          <a:ext cx="2247887" cy="213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AF0421F-4581-486B-8BA2-8E202F3A17A4}" type="TxLink">
            <a:rPr lang="en-US" sz="1000" b="0" i="0" u="none" strike="noStrike">
              <a:solidFill>
                <a:srgbClr val="000000"/>
              </a:solidFill>
              <a:latin typeface="Gill Sans MT"/>
            </a:rPr>
            <a:pPr/>
            <a:t>Dépenses : 844,55 Millions d'€</a:t>
          </a:fld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4:B21"/>
  <sheetViews>
    <sheetView showGridLines="0" tabSelected="1" workbookViewId="0"/>
  </sheetViews>
  <sheetFormatPr baseColWidth="10" defaultRowHeight="15"/>
  <cols>
    <col min="1" max="1" width="8.42578125" customWidth="1"/>
    <col min="2" max="2" width="165.28515625" bestFit="1" customWidth="1"/>
  </cols>
  <sheetData>
    <row r="4" spans="1:2" ht="18.75">
      <c r="B4" s="10" t="s">
        <v>190</v>
      </c>
    </row>
    <row r="6" spans="1:2" s="19" customFormat="1">
      <c r="A6" s="243"/>
      <c r="B6" s="244" t="s">
        <v>185</v>
      </c>
    </row>
    <row r="7" spans="1:2">
      <c r="B7" s="4"/>
    </row>
    <row r="8" spans="1:2" ht="15.75">
      <c r="B8" s="11" t="s">
        <v>53</v>
      </c>
    </row>
    <row r="9" spans="1:2">
      <c r="B9" s="12" t="s">
        <v>55</v>
      </c>
    </row>
    <row r="11" spans="1:2" ht="15.75">
      <c r="B11" s="11" t="s">
        <v>56</v>
      </c>
    </row>
    <row r="12" spans="1:2">
      <c r="B12" s="13" t="s">
        <v>54</v>
      </c>
    </row>
    <row r="13" spans="1:2">
      <c r="B13" s="13" t="s">
        <v>134</v>
      </c>
    </row>
    <row r="14" spans="1:2">
      <c r="B14" s="13" t="s">
        <v>136</v>
      </c>
    </row>
    <row r="15" spans="1:2">
      <c r="B15" s="13" t="s">
        <v>135</v>
      </c>
    </row>
    <row r="17" spans="2:2" ht="15.75">
      <c r="B17" s="11" t="s">
        <v>57</v>
      </c>
    </row>
    <row r="18" spans="2:2">
      <c r="B18" s="13" t="s">
        <v>54</v>
      </c>
    </row>
    <row r="19" spans="2:2">
      <c r="B19" s="13" t="s">
        <v>137</v>
      </c>
    </row>
    <row r="20" spans="2:2">
      <c r="B20" s="13" t="s">
        <v>138</v>
      </c>
    </row>
    <row r="21" spans="2:2">
      <c r="B21" s="13" t="s">
        <v>139</v>
      </c>
    </row>
  </sheetData>
  <hyperlinks>
    <hyperlink ref="B12" location="'Données règlements européens'!A1" display="Données ventilées par pays, type de créances, type de soins, nature de soins"/>
    <hyperlink ref="B14" location="'Graphique 2'!A1" display="Graphique :  Répartion des dépenses selon le type et la nature des soins"/>
    <hyperlink ref="B15" location="'Graphiques 3 &amp; 4'!A1" display="Graphique : Répartition des dépenses de soins de santé des assurés de l’UE-EEE-Suisse en France"/>
    <hyperlink ref="B13" location="'Graphique 1'!A1" display="Graphique 1 : Répartition des bénéficiaires de soins de santé de l’UE-EEE-Suisse en France"/>
    <hyperlink ref="B18" location="'Données conventions bilatérales'!A1" display="Données ventilées par pays, type de créances, type de soins, nature de soins"/>
    <hyperlink ref="B20" location="'Graphique 6'!A1" display="Graphique :  Répartion des dépenses selon le type et la nature des soins"/>
    <hyperlink ref="B21" location="'Graphiques 7 &amp; 8'!A1" display="Graphiques 7 &amp; 8  : Répartition des dépenses de soins de santé des assurés hors UE-EEE-Suisse en France"/>
    <hyperlink ref="B19" location="'Graphique 5'!A1" display="Graphique 5 : Répartition des bénéficiaires de soins de santé hors UE-EEE-Suisse en France"/>
    <hyperlink ref="B9" location="'Cartes 1 &amp; 2'!A1" display="Carte 1 &amp; 2 : Répartition des prestations servies sur le territoire français selon la régi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9">
    <tabColor theme="8" tint="-0.249977111117893"/>
  </sheetPr>
  <dimension ref="A1:V107"/>
  <sheetViews>
    <sheetView zoomScale="80" zoomScaleNormal="80" workbookViewId="0">
      <selection activeCell="B1" sqref="B1"/>
    </sheetView>
  </sheetViews>
  <sheetFormatPr baseColWidth="10" defaultRowHeight="12.75"/>
  <cols>
    <col min="1" max="1" width="11.42578125" style="22"/>
    <col min="2" max="2" width="25.5703125" style="22" bestFit="1" customWidth="1"/>
    <col min="3" max="3" width="15.140625" style="22" bestFit="1" customWidth="1"/>
    <col min="4" max="5" width="11.42578125" style="22"/>
    <col min="6" max="6" width="13.5703125" style="22" bestFit="1" customWidth="1"/>
    <col min="7" max="7" width="14" style="22" customWidth="1"/>
    <col min="8" max="10" width="11.42578125" style="22"/>
    <col min="11" max="11" width="12.5703125" style="22" bestFit="1" customWidth="1"/>
    <col min="12" max="12" width="13.140625" style="22" bestFit="1" customWidth="1"/>
    <col min="13" max="16" width="13.140625" style="22" customWidth="1"/>
    <col min="17" max="17" width="11.42578125" style="22"/>
    <col min="18" max="18" width="12.5703125" style="22" customWidth="1"/>
    <col min="19" max="19" width="14.42578125" style="22" customWidth="1"/>
    <col min="20" max="20" width="12.5703125" style="22" customWidth="1"/>
    <col min="21" max="21" width="14.7109375" style="22" customWidth="1"/>
    <col min="22" max="22" width="15.140625" style="22" customWidth="1"/>
    <col min="23" max="16384" width="11.42578125" style="22"/>
  </cols>
  <sheetData>
    <row r="1" spans="1:22" ht="15.75" thickBot="1">
      <c r="A1" s="14" t="s">
        <v>58</v>
      </c>
    </row>
    <row r="3" spans="1:22">
      <c r="D3" s="331" t="s">
        <v>71</v>
      </c>
      <c r="E3" s="331"/>
      <c r="F3" s="331"/>
      <c r="G3" s="331"/>
      <c r="H3" s="331"/>
      <c r="I3" s="331"/>
      <c r="J3" s="331" t="s">
        <v>72</v>
      </c>
      <c r="K3" s="331"/>
      <c r="L3" s="331"/>
      <c r="M3" s="331" t="s">
        <v>157</v>
      </c>
      <c r="N3" s="331"/>
      <c r="O3" s="331"/>
      <c r="P3" s="339" t="s">
        <v>101</v>
      </c>
      <c r="Q3" s="331" t="s">
        <v>30</v>
      </c>
      <c r="R3" s="331"/>
      <c r="S3" s="331"/>
      <c r="T3" s="331"/>
      <c r="U3" s="331"/>
      <c r="V3" s="331"/>
    </row>
    <row r="4" spans="1:22">
      <c r="B4" s="354" t="s">
        <v>73</v>
      </c>
      <c r="C4" s="356" t="s">
        <v>74</v>
      </c>
      <c r="D4" s="358" t="s">
        <v>37</v>
      </c>
      <c r="E4" s="359"/>
      <c r="F4" s="358" t="s">
        <v>41</v>
      </c>
      <c r="G4" s="359"/>
      <c r="H4" s="359"/>
      <c r="I4" s="360"/>
      <c r="J4" s="332" t="s">
        <v>37</v>
      </c>
      <c r="K4" s="332" t="s">
        <v>41</v>
      </c>
      <c r="L4" s="332" t="s">
        <v>62</v>
      </c>
      <c r="M4" s="332" t="s">
        <v>37</v>
      </c>
      <c r="N4" s="332" t="s">
        <v>41</v>
      </c>
      <c r="O4" s="332" t="s">
        <v>62</v>
      </c>
      <c r="P4" s="340"/>
      <c r="Q4" s="332" t="s">
        <v>37</v>
      </c>
      <c r="R4" s="328" t="s">
        <v>75</v>
      </c>
      <c r="S4" s="333" t="s">
        <v>158</v>
      </c>
      <c r="T4" s="328" t="s">
        <v>76</v>
      </c>
      <c r="U4" s="333" t="s">
        <v>159</v>
      </c>
      <c r="V4" s="328" t="s">
        <v>181</v>
      </c>
    </row>
    <row r="5" spans="1:22" ht="35.25" customHeight="1">
      <c r="B5" s="355"/>
      <c r="C5" s="357"/>
      <c r="D5" s="26" t="s">
        <v>63</v>
      </c>
      <c r="E5" s="26" t="s">
        <v>64</v>
      </c>
      <c r="F5" s="26" t="s">
        <v>77</v>
      </c>
      <c r="G5" s="26" t="s">
        <v>77</v>
      </c>
      <c r="H5" s="26" t="s">
        <v>64</v>
      </c>
      <c r="I5" s="26" t="s">
        <v>62</v>
      </c>
      <c r="J5" s="332"/>
      <c r="K5" s="332"/>
      <c r="L5" s="332"/>
      <c r="M5" s="332"/>
      <c r="N5" s="332"/>
      <c r="O5" s="332"/>
      <c r="P5" s="341"/>
      <c r="Q5" s="332"/>
      <c r="R5" s="329"/>
      <c r="S5" s="334"/>
      <c r="T5" s="329"/>
      <c r="U5" s="334"/>
      <c r="V5" s="329"/>
    </row>
    <row r="6" spans="1:22">
      <c r="B6" s="418" t="s">
        <v>86</v>
      </c>
      <c r="C6" s="66" t="s">
        <v>31</v>
      </c>
      <c r="D6" s="362">
        <f>'Données conventions bilatérales'!C34</f>
        <v>490</v>
      </c>
      <c r="E6" s="365">
        <f>D6/$D$21</f>
        <v>0.20868824531516184</v>
      </c>
      <c r="F6" s="53">
        <f>'Données conventions bilatérales'!E34</f>
        <v>146105.65000000002</v>
      </c>
      <c r="G6" s="415">
        <f>SUM(F6:F10)</f>
        <v>1231541.3899999999</v>
      </c>
      <c r="H6" s="365">
        <f>G6/$G$21</f>
        <v>0.19483966725414295</v>
      </c>
      <c r="I6" s="342">
        <f>G6/D6</f>
        <v>2513.3497755102039</v>
      </c>
      <c r="J6" s="345"/>
      <c r="K6" s="345"/>
      <c r="L6" s="345"/>
      <c r="M6" s="345"/>
      <c r="N6" s="345"/>
      <c r="O6" s="345"/>
      <c r="P6" s="415">
        <f>'Données conventions bilatérales'!$AH$34*T6</f>
        <v>72318.146839752735</v>
      </c>
      <c r="Q6" s="362">
        <f>D6+J6+M6</f>
        <v>490</v>
      </c>
      <c r="R6" s="365">
        <f>Q6/Q21</f>
        <v>3.2530040496581029E-2</v>
      </c>
      <c r="S6" s="415">
        <f>G6+K6+N6</f>
        <v>1231541.3899999999</v>
      </c>
      <c r="T6" s="365">
        <f>S6/S21</f>
        <v>2.1925339360653034E-2</v>
      </c>
      <c r="U6" s="415">
        <f>S6+P6</f>
        <v>1303859.5368397527</v>
      </c>
      <c r="V6" s="368">
        <f>S6/Q6</f>
        <v>2513.3497755102039</v>
      </c>
    </row>
    <row r="7" spans="1:22">
      <c r="B7" s="418"/>
      <c r="C7" s="66" t="s">
        <v>32</v>
      </c>
      <c r="D7" s="363"/>
      <c r="E7" s="366"/>
      <c r="F7" s="53">
        <f>'Données conventions bilatérales'!F34</f>
        <v>3725.87</v>
      </c>
      <c r="G7" s="416"/>
      <c r="H7" s="366"/>
      <c r="I7" s="343"/>
      <c r="J7" s="346"/>
      <c r="K7" s="346"/>
      <c r="L7" s="346"/>
      <c r="M7" s="346"/>
      <c r="N7" s="346"/>
      <c r="O7" s="346"/>
      <c r="P7" s="416"/>
      <c r="Q7" s="363"/>
      <c r="R7" s="366"/>
      <c r="S7" s="416"/>
      <c r="T7" s="366"/>
      <c r="U7" s="416"/>
      <c r="V7" s="368"/>
    </row>
    <row r="8" spans="1:22">
      <c r="B8" s="418"/>
      <c r="C8" s="66" t="s">
        <v>33</v>
      </c>
      <c r="D8" s="363"/>
      <c r="E8" s="366"/>
      <c r="F8" s="53">
        <f>'Données conventions bilatérales'!G34</f>
        <v>82862.570000000007</v>
      </c>
      <c r="G8" s="416"/>
      <c r="H8" s="366"/>
      <c r="I8" s="343"/>
      <c r="J8" s="346"/>
      <c r="K8" s="346"/>
      <c r="L8" s="346"/>
      <c r="M8" s="346"/>
      <c r="N8" s="346"/>
      <c r="O8" s="346"/>
      <c r="P8" s="416"/>
      <c r="Q8" s="363"/>
      <c r="R8" s="366"/>
      <c r="S8" s="416"/>
      <c r="T8" s="366"/>
      <c r="U8" s="416"/>
      <c r="V8" s="368"/>
    </row>
    <row r="9" spans="1:22">
      <c r="B9" s="418"/>
      <c r="C9" s="66" t="s">
        <v>79</v>
      </c>
      <c r="D9" s="363"/>
      <c r="E9" s="366"/>
      <c r="F9" s="53">
        <f>'Données conventions bilatérales'!H34</f>
        <v>877096.61</v>
      </c>
      <c r="G9" s="416"/>
      <c r="H9" s="366"/>
      <c r="I9" s="343"/>
      <c r="J9" s="346"/>
      <c r="K9" s="346"/>
      <c r="L9" s="346"/>
      <c r="M9" s="346"/>
      <c r="N9" s="346"/>
      <c r="O9" s="346"/>
      <c r="P9" s="416"/>
      <c r="Q9" s="363"/>
      <c r="R9" s="366"/>
      <c r="S9" s="416"/>
      <c r="T9" s="366"/>
      <c r="U9" s="416"/>
      <c r="V9" s="368"/>
    </row>
    <row r="10" spans="1:22">
      <c r="B10" s="418"/>
      <c r="C10" s="66" t="s">
        <v>35</v>
      </c>
      <c r="D10" s="364"/>
      <c r="E10" s="367"/>
      <c r="F10" s="53">
        <f>'Données conventions bilatérales'!I34</f>
        <v>121750.68999999999</v>
      </c>
      <c r="G10" s="417"/>
      <c r="H10" s="367"/>
      <c r="I10" s="344"/>
      <c r="J10" s="347"/>
      <c r="K10" s="347"/>
      <c r="L10" s="347"/>
      <c r="M10" s="347"/>
      <c r="N10" s="347"/>
      <c r="O10" s="347"/>
      <c r="P10" s="417"/>
      <c r="Q10" s="364"/>
      <c r="R10" s="367"/>
      <c r="S10" s="417"/>
      <c r="T10" s="367"/>
      <c r="U10" s="417"/>
      <c r="V10" s="368"/>
    </row>
    <row r="11" spans="1:22">
      <c r="B11" s="418" t="s">
        <v>80</v>
      </c>
      <c r="C11" s="66" t="s">
        <v>31</v>
      </c>
      <c r="D11" s="370">
        <f>'Données conventions bilatérales'!J34</f>
        <v>305</v>
      </c>
      <c r="E11" s="365">
        <f>D11/$D$21</f>
        <v>0.12989778534923338</v>
      </c>
      <c r="F11" s="53">
        <f>'Données conventions bilatérales'!L34</f>
        <v>204559.44</v>
      </c>
      <c r="G11" s="415">
        <f>SUM(F11:F15)</f>
        <v>1943808.8299999998</v>
      </c>
      <c r="H11" s="365">
        <f>G11/$G$21</f>
        <v>0.30752605533043831</v>
      </c>
      <c r="I11" s="368">
        <f>G11/D11</f>
        <v>6373.1437049180322</v>
      </c>
      <c r="J11" s="345"/>
      <c r="K11" s="345"/>
      <c r="L11" s="345"/>
      <c r="M11" s="345"/>
      <c r="N11" s="345"/>
      <c r="O11" s="345"/>
      <c r="P11" s="415">
        <f>'Données conventions bilatérales'!$AH$34*T11</f>
        <v>114143.66868851072</v>
      </c>
      <c r="Q11" s="362">
        <f>D11+J11+M11</f>
        <v>305</v>
      </c>
      <c r="R11" s="365">
        <f>Q11/Q21</f>
        <v>2.0248290513177985E-2</v>
      </c>
      <c r="S11" s="415">
        <f>G11+K11+N11</f>
        <v>1943808.8299999998</v>
      </c>
      <c r="T11" s="365">
        <f>S11/S21</f>
        <v>3.4605956889507322E-2</v>
      </c>
      <c r="U11" s="415">
        <f>S11+P11</f>
        <v>2057952.4986885106</v>
      </c>
      <c r="V11" s="368">
        <f>S11/Q11</f>
        <v>6373.1437049180322</v>
      </c>
    </row>
    <row r="12" spans="1:22">
      <c r="B12" s="418"/>
      <c r="C12" s="66" t="s">
        <v>32</v>
      </c>
      <c r="D12" s="370"/>
      <c r="E12" s="366"/>
      <c r="F12" s="53">
        <f>'Données conventions bilatérales'!M34</f>
        <v>1534.8799999999999</v>
      </c>
      <c r="G12" s="416"/>
      <c r="H12" s="366"/>
      <c r="I12" s="368"/>
      <c r="J12" s="346"/>
      <c r="K12" s="346"/>
      <c r="L12" s="346"/>
      <c r="M12" s="346"/>
      <c r="N12" s="346"/>
      <c r="O12" s="346"/>
      <c r="P12" s="416"/>
      <c r="Q12" s="363"/>
      <c r="R12" s="366"/>
      <c r="S12" s="416"/>
      <c r="T12" s="366"/>
      <c r="U12" s="416"/>
      <c r="V12" s="368"/>
    </row>
    <row r="13" spans="1:22">
      <c r="B13" s="418"/>
      <c r="C13" s="66" t="s">
        <v>33</v>
      </c>
      <c r="D13" s="370"/>
      <c r="E13" s="366"/>
      <c r="F13" s="53">
        <f>'Données conventions bilatérales'!N34</f>
        <v>74017.55</v>
      </c>
      <c r="G13" s="416"/>
      <c r="H13" s="366"/>
      <c r="I13" s="368"/>
      <c r="J13" s="346"/>
      <c r="K13" s="346"/>
      <c r="L13" s="346"/>
      <c r="M13" s="346"/>
      <c r="N13" s="346"/>
      <c r="O13" s="346"/>
      <c r="P13" s="416"/>
      <c r="Q13" s="363"/>
      <c r="R13" s="366"/>
      <c r="S13" s="416"/>
      <c r="T13" s="366"/>
      <c r="U13" s="416"/>
      <c r="V13" s="368"/>
    </row>
    <row r="14" spans="1:22">
      <c r="B14" s="418"/>
      <c r="C14" s="66" t="s">
        <v>79</v>
      </c>
      <c r="D14" s="370"/>
      <c r="E14" s="366"/>
      <c r="F14" s="53">
        <f>'Données conventions bilatérales'!O34</f>
        <v>1280578.8699999999</v>
      </c>
      <c r="G14" s="416"/>
      <c r="H14" s="366"/>
      <c r="I14" s="368"/>
      <c r="J14" s="346"/>
      <c r="K14" s="346"/>
      <c r="L14" s="346"/>
      <c r="M14" s="346"/>
      <c r="N14" s="346"/>
      <c r="O14" s="346"/>
      <c r="P14" s="416"/>
      <c r="Q14" s="363"/>
      <c r="R14" s="366"/>
      <c r="S14" s="416"/>
      <c r="T14" s="366"/>
      <c r="U14" s="416"/>
      <c r="V14" s="368"/>
    </row>
    <row r="15" spans="1:22">
      <c r="B15" s="418"/>
      <c r="C15" s="66" t="s">
        <v>35</v>
      </c>
      <c r="D15" s="370"/>
      <c r="E15" s="367"/>
      <c r="F15" s="53">
        <f>'Données conventions bilatérales'!P34</f>
        <v>383118.09000000008</v>
      </c>
      <c r="G15" s="417"/>
      <c r="H15" s="367"/>
      <c r="I15" s="368"/>
      <c r="J15" s="347"/>
      <c r="K15" s="347"/>
      <c r="L15" s="347"/>
      <c r="M15" s="347"/>
      <c r="N15" s="347"/>
      <c r="O15" s="347"/>
      <c r="P15" s="417"/>
      <c r="Q15" s="364"/>
      <c r="R15" s="367"/>
      <c r="S15" s="417"/>
      <c r="T15" s="367"/>
      <c r="U15" s="417"/>
      <c r="V15" s="368"/>
    </row>
    <row r="16" spans="1:22">
      <c r="B16" s="418" t="s">
        <v>81</v>
      </c>
      <c r="C16" s="66" t="s">
        <v>31</v>
      </c>
      <c r="D16" s="370">
        <f>'Données conventions bilatérales'!Q34</f>
        <v>1553</v>
      </c>
      <c r="E16" s="365">
        <f>D16/$D$21</f>
        <v>0.66141396933560481</v>
      </c>
      <c r="F16" s="53">
        <f>'Données conventions bilatérales'!S34</f>
        <v>346527.46</v>
      </c>
      <c r="G16" s="415">
        <f>SUM(F16:F20)</f>
        <v>3145443.7300000004</v>
      </c>
      <c r="H16" s="365">
        <f>G16/$G$21</f>
        <v>0.49763427741541871</v>
      </c>
      <c r="I16" s="368">
        <f>G16/D16</f>
        <v>2025.3984095299422</v>
      </c>
      <c r="J16" s="423">
        <f>'Données conventions bilatérales'!X34+'Données conventions bilatérales'!Z34+'Données conventions bilatérales'!AB34+'Données conventions bilatérales'!AD34</f>
        <v>12708</v>
      </c>
      <c r="K16" s="419">
        <f>'Données conventions bilatérales'!Y34+'Données conventions bilatérales'!AA34+'Données conventions bilatérales'!AC34+'Données conventions bilatérales'!AE34</f>
        <v>49848418.066000007</v>
      </c>
      <c r="L16" s="342">
        <f>IF(J16=0,"-",K16/J16)</f>
        <v>3922.6013586717036</v>
      </c>
      <c r="M16" s="423">
        <f>'Données conventions bilatérales'!AF34</f>
        <v>7</v>
      </c>
      <c r="N16" s="419">
        <f>'Données conventions bilatérales'!AG34</f>
        <v>563.5</v>
      </c>
      <c r="O16" s="342">
        <f>IF(M16=0,"-",N16/M16)</f>
        <v>80.5</v>
      </c>
      <c r="P16" s="415">
        <f>'Données conventions bilatérales'!$AH$34*T16</f>
        <v>3111920.2824717369</v>
      </c>
      <c r="Q16" s="362">
        <f>D16+J16+M16</f>
        <v>14268</v>
      </c>
      <c r="R16" s="365">
        <f>Q16/Q21</f>
        <v>0.94722166899024096</v>
      </c>
      <c r="S16" s="415">
        <f>G16+K16+N16</f>
        <v>52994425.296000004</v>
      </c>
      <c r="T16" s="365">
        <f>S16/S21</f>
        <v>0.94346870374983971</v>
      </c>
      <c r="U16" s="415">
        <f>S16+P16</f>
        <v>56106345.578471743</v>
      </c>
      <c r="V16" s="368">
        <f>S16/Q16</f>
        <v>3714.2153978132887</v>
      </c>
    </row>
    <row r="17" spans="1:22">
      <c r="B17" s="418"/>
      <c r="C17" s="66" t="s">
        <v>32</v>
      </c>
      <c r="D17" s="370"/>
      <c r="E17" s="366"/>
      <c r="F17" s="53">
        <f>'Données conventions bilatérales'!T34</f>
        <v>39788.169999999991</v>
      </c>
      <c r="G17" s="416"/>
      <c r="H17" s="366"/>
      <c r="I17" s="368"/>
      <c r="J17" s="424"/>
      <c r="K17" s="420"/>
      <c r="L17" s="343"/>
      <c r="M17" s="424"/>
      <c r="N17" s="420"/>
      <c r="O17" s="343"/>
      <c r="P17" s="416"/>
      <c r="Q17" s="426"/>
      <c r="R17" s="366"/>
      <c r="S17" s="426"/>
      <c r="T17" s="366"/>
      <c r="U17" s="416"/>
      <c r="V17" s="368"/>
    </row>
    <row r="18" spans="1:22">
      <c r="B18" s="418"/>
      <c r="C18" s="66" t="s">
        <v>33</v>
      </c>
      <c r="D18" s="370"/>
      <c r="E18" s="366"/>
      <c r="F18" s="53">
        <f>'Données conventions bilatérales'!U34</f>
        <v>379769.58</v>
      </c>
      <c r="G18" s="416"/>
      <c r="H18" s="366"/>
      <c r="I18" s="368"/>
      <c r="J18" s="424"/>
      <c r="K18" s="420"/>
      <c r="L18" s="343"/>
      <c r="M18" s="424"/>
      <c r="N18" s="420"/>
      <c r="O18" s="343"/>
      <c r="P18" s="416"/>
      <c r="Q18" s="426"/>
      <c r="R18" s="366"/>
      <c r="S18" s="426"/>
      <c r="T18" s="366"/>
      <c r="U18" s="416"/>
      <c r="V18" s="368"/>
    </row>
    <row r="19" spans="1:22">
      <c r="B19" s="418"/>
      <c r="C19" s="66" t="s">
        <v>79</v>
      </c>
      <c r="D19" s="370"/>
      <c r="E19" s="366"/>
      <c r="F19" s="53">
        <f>'Données conventions bilatérales'!V34</f>
        <v>1532822.1199999999</v>
      </c>
      <c r="G19" s="416"/>
      <c r="H19" s="366"/>
      <c r="I19" s="368"/>
      <c r="J19" s="424"/>
      <c r="K19" s="420"/>
      <c r="L19" s="343"/>
      <c r="M19" s="424"/>
      <c r="N19" s="420"/>
      <c r="O19" s="343"/>
      <c r="P19" s="416"/>
      <c r="Q19" s="426"/>
      <c r="R19" s="366"/>
      <c r="S19" s="426"/>
      <c r="T19" s="366"/>
      <c r="U19" s="416"/>
      <c r="V19" s="368"/>
    </row>
    <row r="20" spans="1:22">
      <c r="B20" s="418"/>
      <c r="C20" s="66" t="s">
        <v>35</v>
      </c>
      <c r="D20" s="370"/>
      <c r="E20" s="367"/>
      <c r="F20" s="53">
        <f>'Données conventions bilatérales'!W34</f>
        <v>846536.40000000014</v>
      </c>
      <c r="G20" s="417"/>
      <c r="H20" s="367"/>
      <c r="I20" s="368"/>
      <c r="J20" s="425"/>
      <c r="K20" s="421"/>
      <c r="L20" s="344"/>
      <c r="M20" s="425"/>
      <c r="N20" s="421"/>
      <c r="O20" s="344"/>
      <c r="P20" s="417"/>
      <c r="Q20" s="427"/>
      <c r="R20" s="367"/>
      <c r="S20" s="427"/>
      <c r="T20" s="367"/>
      <c r="U20" s="417"/>
      <c r="V20" s="368"/>
    </row>
    <row r="21" spans="1:22">
      <c r="B21" s="418" t="s">
        <v>82</v>
      </c>
      <c r="C21" s="66" t="s">
        <v>31</v>
      </c>
      <c r="D21" s="371">
        <f>SUM(D6:D20)</f>
        <v>2348</v>
      </c>
      <c r="E21" s="365">
        <f>SUM(E6:E20)</f>
        <v>1</v>
      </c>
      <c r="F21" s="54">
        <f>F6+F11+F16</f>
        <v>697192.55</v>
      </c>
      <c r="G21" s="422">
        <f>SUM(G6:G20)</f>
        <v>6320793.9500000002</v>
      </c>
      <c r="H21" s="365">
        <f>SUM(H6:H20)</f>
        <v>1</v>
      </c>
      <c r="I21" s="368">
        <f>G21/D21</f>
        <v>2691.990609028961</v>
      </c>
      <c r="J21" s="371">
        <f>SUM(J6:J20)</f>
        <v>12708</v>
      </c>
      <c r="K21" s="422">
        <f>SUM(K6:K20)</f>
        <v>49848418.066000007</v>
      </c>
      <c r="L21" s="368">
        <f>IF(J21=0,"-",K21/J21)</f>
        <v>3922.6013586717036</v>
      </c>
      <c r="M21" s="371">
        <f>SUM(M6:M20)</f>
        <v>7</v>
      </c>
      <c r="N21" s="422">
        <f>SUM(N6:N20)</f>
        <v>563.5</v>
      </c>
      <c r="O21" s="368">
        <f>IF(M21=0,"-",N21/M21)</f>
        <v>80.5</v>
      </c>
      <c r="P21" s="415">
        <f t="shared" ref="P21:U21" si="0">SUM(P6:P20)</f>
        <v>3298382.0980000002</v>
      </c>
      <c r="Q21" s="371">
        <f t="shared" si="0"/>
        <v>15063</v>
      </c>
      <c r="R21" s="365">
        <f t="shared" si="0"/>
        <v>1</v>
      </c>
      <c r="S21" s="419">
        <f t="shared" si="0"/>
        <v>56169775.516000003</v>
      </c>
      <c r="T21" s="365">
        <f t="shared" si="0"/>
        <v>1</v>
      </c>
      <c r="U21" s="415">
        <f t="shared" si="0"/>
        <v>59468157.614000008</v>
      </c>
      <c r="V21" s="368">
        <f>S21/Q21</f>
        <v>3728.9899433047867</v>
      </c>
    </row>
    <row r="22" spans="1:22">
      <c r="B22" s="418"/>
      <c r="C22" s="66" t="s">
        <v>32</v>
      </c>
      <c r="D22" s="371"/>
      <c r="E22" s="366"/>
      <c r="F22" s="54">
        <f>F7+F12+F17</f>
        <v>45048.919999999991</v>
      </c>
      <c r="G22" s="422"/>
      <c r="H22" s="366"/>
      <c r="I22" s="368"/>
      <c r="J22" s="371"/>
      <c r="K22" s="422"/>
      <c r="L22" s="368"/>
      <c r="M22" s="371"/>
      <c r="N22" s="422"/>
      <c r="O22" s="368"/>
      <c r="P22" s="416"/>
      <c r="Q22" s="371"/>
      <c r="R22" s="366"/>
      <c r="S22" s="420"/>
      <c r="T22" s="366"/>
      <c r="U22" s="416"/>
      <c r="V22" s="368"/>
    </row>
    <row r="23" spans="1:22">
      <c r="B23" s="418"/>
      <c r="C23" s="66" t="s">
        <v>33</v>
      </c>
      <c r="D23" s="371"/>
      <c r="E23" s="366"/>
      <c r="F23" s="54">
        <f>F8+F13+F18</f>
        <v>536649.69999999995</v>
      </c>
      <c r="G23" s="422"/>
      <c r="H23" s="366"/>
      <c r="I23" s="368"/>
      <c r="J23" s="371"/>
      <c r="K23" s="422"/>
      <c r="L23" s="368"/>
      <c r="M23" s="371"/>
      <c r="N23" s="422"/>
      <c r="O23" s="368"/>
      <c r="P23" s="416"/>
      <c r="Q23" s="371"/>
      <c r="R23" s="366"/>
      <c r="S23" s="420"/>
      <c r="T23" s="366"/>
      <c r="U23" s="416"/>
      <c r="V23" s="368"/>
    </row>
    <row r="24" spans="1:22">
      <c r="B24" s="418"/>
      <c r="C24" s="66" t="s">
        <v>79</v>
      </c>
      <c r="D24" s="371"/>
      <c r="E24" s="366"/>
      <c r="F24" s="54">
        <f>F9+F14+F19</f>
        <v>3690497.5999999996</v>
      </c>
      <c r="G24" s="422"/>
      <c r="H24" s="366"/>
      <c r="I24" s="368"/>
      <c r="J24" s="371"/>
      <c r="K24" s="422"/>
      <c r="L24" s="368"/>
      <c r="M24" s="371"/>
      <c r="N24" s="422"/>
      <c r="O24" s="368"/>
      <c r="P24" s="416"/>
      <c r="Q24" s="371"/>
      <c r="R24" s="366"/>
      <c r="S24" s="420"/>
      <c r="T24" s="366"/>
      <c r="U24" s="416"/>
      <c r="V24" s="368"/>
    </row>
    <row r="25" spans="1:22">
      <c r="B25" s="418"/>
      <c r="C25" s="66" t="s">
        <v>35</v>
      </c>
      <c r="D25" s="371"/>
      <c r="E25" s="367"/>
      <c r="F25" s="54">
        <f>F10+F15+F20</f>
        <v>1351405.1800000002</v>
      </c>
      <c r="G25" s="422"/>
      <c r="H25" s="367"/>
      <c r="I25" s="368"/>
      <c r="J25" s="371"/>
      <c r="K25" s="422"/>
      <c r="L25" s="368"/>
      <c r="M25" s="371"/>
      <c r="N25" s="422"/>
      <c r="O25" s="368"/>
      <c r="P25" s="417"/>
      <c r="Q25" s="371"/>
      <c r="R25" s="367"/>
      <c r="S25" s="421"/>
      <c r="T25" s="367"/>
      <c r="U25" s="417"/>
      <c r="V25" s="368"/>
    </row>
    <row r="26" spans="1:22">
      <c r="B26" s="202" t="s">
        <v>198</v>
      </c>
      <c r="G26" s="70"/>
      <c r="K26" s="69"/>
      <c r="S26" s="69"/>
    </row>
    <row r="27" spans="1:22">
      <c r="A27" s="32"/>
      <c r="B27" s="39" t="s">
        <v>133</v>
      </c>
      <c r="C27" s="32"/>
      <c r="D27" s="32"/>
      <c r="E27" s="32"/>
      <c r="F27" s="32"/>
      <c r="G27" s="153"/>
      <c r="H27" s="32"/>
      <c r="I27" s="32"/>
      <c r="J27" s="32"/>
      <c r="K27" s="153"/>
      <c r="L27" s="32"/>
      <c r="M27" s="32"/>
      <c r="N27" s="32"/>
      <c r="O27" s="32"/>
      <c r="P27" s="32"/>
      <c r="Q27" s="32"/>
      <c r="S27" s="69"/>
    </row>
    <row r="28" spans="1:22">
      <c r="A28" s="32"/>
      <c r="B28" s="3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22">
      <c r="A29" s="32"/>
      <c r="B29" s="67" t="s">
        <v>132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257"/>
      <c r="O31" s="32"/>
      <c r="P31" s="32"/>
      <c r="Q31" s="32"/>
      <c r="U31" s="139"/>
    </row>
    <row r="32" spans="1:22">
      <c r="A32" s="32"/>
      <c r="B32" s="32"/>
      <c r="C32" s="22" t="str">
        <f>"Dépenses : "&amp;TEXT(S21/1000000,"# ###,##")&amp;" Millions d'€"</f>
        <v>Dépenses : 56,17 Millions d'€</v>
      </c>
      <c r="D32" s="32"/>
      <c r="E32" s="32"/>
      <c r="F32" s="32"/>
      <c r="G32" s="32"/>
      <c r="H32" s="32"/>
      <c r="I32" s="32"/>
      <c r="J32" s="32"/>
      <c r="K32" s="257"/>
      <c r="L32" s="32"/>
      <c r="M32" s="32"/>
      <c r="N32" s="32"/>
      <c r="O32" s="32"/>
      <c r="P32" s="32"/>
      <c r="Q32" s="32"/>
    </row>
    <row r="33" spans="1:17">
      <c r="A33" s="32"/>
      <c r="B33" s="32"/>
      <c r="C33" s="22" t="str">
        <f>"Bénéficiaires = "&amp;TEXT(Q21,"# ###")</f>
        <v>Bénéficiaires = 15 063</v>
      </c>
      <c r="D33" s="32"/>
      <c r="E33" s="32"/>
      <c r="F33" s="32"/>
      <c r="G33" s="257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>
      <c r="A45" s="32"/>
      <c r="B45" s="39" t="s">
        <v>133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>
      <c r="A47" s="32"/>
      <c r="B47" s="67" t="s">
        <v>127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>
      <c r="A61" s="32"/>
      <c r="B61" s="39" t="s">
        <v>133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>
      <c r="A63" s="32"/>
      <c r="B63" s="67" t="s">
        <v>87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>
      <c r="A79" s="32"/>
      <c r="B79" s="39" t="s">
        <v>133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15.75" customHeight="1">
      <c r="A81" s="32"/>
      <c r="B81" s="68" t="str">
        <f>B21</f>
        <v>Tous type de soins</v>
      </c>
      <c r="C81" s="48">
        <f>V21</f>
        <v>3728.9899433047867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15.75" customHeight="1">
      <c r="A82" s="32"/>
      <c r="B82" s="68" t="str">
        <f>B16</f>
        <v>Soins liés à la résidence</v>
      </c>
      <c r="C82" s="48">
        <f>V16</f>
        <v>3714.2153978132887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15.75" customHeight="1">
      <c r="A83" s="32"/>
      <c r="B83" s="68" t="str">
        <f>B11</f>
        <v>Soins programmés</v>
      </c>
      <c r="C83" s="48">
        <f>V11</f>
        <v>6373.1437049180322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5.75" customHeight="1">
      <c r="A84" s="32"/>
      <c r="B84" s="68" t="str">
        <f>B6</f>
        <v>Soins urgents</v>
      </c>
      <c r="C84" s="48">
        <f>V6</f>
        <v>2513.3497755102039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</sheetData>
  <mergeCells count="97">
    <mergeCell ref="U6:U10"/>
    <mergeCell ref="U11:U15"/>
    <mergeCell ref="U16:U20"/>
    <mergeCell ref="U21:U25"/>
    <mergeCell ref="I21:I25"/>
    <mergeCell ref="J21:J25"/>
    <mergeCell ref="K21:K25"/>
    <mergeCell ref="L21:L25"/>
    <mergeCell ref="Q21:Q25"/>
    <mergeCell ref="M21:M25"/>
    <mergeCell ref="N21:N25"/>
    <mergeCell ref="O21:O25"/>
    <mergeCell ref="P21:P25"/>
    <mergeCell ref="R21:R25"/>
    <mergeCell ref="T16:T20"/>
    <mergeCell ref="M16:M20"/>
    <mergeCell ref="V16:V20"/>
    <mergeCell ref="B21:B25"/>
    <mergeCell ref="D21:D25"/>
    <mergeCell ref="E21:E25"/>
    <mergeCell ref="G21:G25"/>
    <mergeCell ref="H21:H25"/>
    <mergeCell ref="S21:S25"/>
    <mergeCell ref="T21:T25"/>
    <mergeCell ref="V21:V25"/>
    <mergeCell ref="J16:J20"/>
    <mergeCell ref="K16:K20"/>
    <mergeCell ref="L16:L20"/>
    <mergeCell ref="Q16:Q20"/>
    <mergeCell ref="R16:R20"/>
    <mergeCell ref="S16:S20"/>
    <mergeCell ref="B16:B20"/>
    <mergeCell ref="D16:D20"/>
    <mergeCell ref="E16:E20"/>
    <mergeCell ref="G16:G20"/>
    <mergeCell ref="H16:H20"/>
    <mergeCell ref="I16:I20"/>
    <mergeCell ref="N16:N20"/>
    <mergeCell ref="O16:O20"/>
    <mergeCell ref="P16:P20"/>
    <mergeCell ref="L11:L15"/>
    <mergeCell ref="Q11:Q15"/>
    <mergeCell ref="R11:R15"/>
    <mergeCell ref="S11:S15"/>
    <mergeCell ref="T11:T15"/>
    <mergeCell ref="M11:M15"/>
    <mergeCell ref="N11:N15"/>
    <mergeCell ref="O11:O15"/>
    <mergeCell ref="P11:P15"/>
    <mergeCell ref="V11:V15"/>
    <mergeCell ref="T6:T10"/>
    <mergeCell ref="V6:V10"/>
    <mergeCell ref="B11:B15"/>
    <mergeCell ref="D11:D15"/>
    <mergeCell ref="E11:E15"/>
    <mergeCell ref="G11:G15"/>
    <mergeCell ref="H11:H15"/>
    <mergeCell ref="I11:I15"/>
    <mergeCell ref="J11:J15"/>
    <mergeCell ref="K11:K15"/>
    <mergeCell ref="J6:J10"/>
    <mergeCell ref="K6:K10"/>
    <mergeCell ref="L6:L10"/>
    <mergeCell ref="Q6:Q10"/>
    <mergeCell ref="R6:R10"/>
    <mergeCell ref="S6:S10"/>
    <mergeCell ref="B6:B10"/>
    <mergeCell ref="D6:D10"/>
    <mergeCell ref="E6:E10"/>
    <mergeCell ref="G6:G10"/>
    <mergeCell ref="H6:H10"/>
    <mergeCell ref="M6:M10"/>
    <mergeCell ref="N6:N10"/>
    <mergeCell ref="O6:O10"/>
    <mergeCell ref="P6:P10"/>
    <mergeCell ref="D3:I3"/>
    <mergeCell ref="I6:I10"/>
    <mergeCell ref="B4:B5"/>
    <mergeCell ref="C4:C5"/>
    <mergeCell ref="D4:E4"/>
    <mergeCell ref="F4:I4"/>
    <mergeCell ref="V4:V5"/>
    <mergeCell ref="J3:L3"/>
    <mergeCell ref="Q3:V3"/>
    <mergeCell ref="L4:L5"/>
    <mergeCell ref="Q4:Q5"/>
    <mergeCell ref="J4:J5"/>
    <mergeCell ref="K4:K5"/>
    <mergeCell ref="R4:R5"/>
    <mergeCell ref="S4:S5"/>
    <mergeCell ref="T4:T5"/>
    <mergeCell ref="M3:O3"/>
    <mergeCell ref="M4:M5"/>
    <mergeCell ref="N4:N5"/>
    <mergeCell ref="O4:O5"/>
    <mergeCell ref="P3:P5"/>
    <mergeCell ref="U4:U5"/>
  </mergeCells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tabColor rgb="FF0070C0"/>
  </sheetPr>
  <dimension ref="A1:V39"/>
  <sheetViews>
    <sheetView zoomScale="80" zoomScaleNormal="80" workbookViewId="0"/>
  </sheetViews>
  <sheetFormatPr baseColWidth="10" defaultRowHeight="15"/>
  <cols>
    <col min="2" max="2" width="44.28515625" customWidth="1"/>
    <col min="3" max="3" width="11.140625" customWidth="1"/>
    <col min="4" max="4" width="9.5703125" bestFit="1" customWidth="1"/>
    <col min="5" max="5" width="9.5703125" customWidth="1"/>
    <col min="6" max="6" width="15.28515625" bestFit="1" customWidth="1"/>
    <col min="7" max="7" width="9.5703125" bestFit="1" customWidth="1"/>
    <col min="8" max="8" width="9.5703125" customWidth="1"/>
    <col min="9" max="9" width="13.42578125" customWidth="1"/>
    <col min="11" max="11" width="9.42578125" bestFit="1" customWidth="1"/>
    <col min="12" max="12" width="9.28515625" customWidth="1"/>
    <col min="13" max="13" width="10.5703125" customWidth="1"/>
    <col min="14" max="14" width="8.85546875" customWidth="1"/>
    <col min="15" max="15" width="9.140625" customWidth="1"/>
    <col min="17" max="17" width="7.85546875" bestFit="1" customWidth="1"/>
    <col min="19" max="19" width="43.7109375" bestFit="1" customWidth="1"/>
    <col min="20" max="20" width="14.140625" style="227" customWidth="1"/>
    <col min="21" max="21" width="16.42578125" style="227" customWidth="1"/>
    <col min="22" max="22" width="14.140625" style="227" customWidth="1"/>
  </cols>
  <sheetData>
    <row r="1" spans="1:22" ht="15.75" thickBot="1">
      <c r="A1" s="14" t="s">
        <v>58</v>
      </c>
      <c r="C1" s="19"/>
    </row>
    <row r="2" spans="1:22">
      <c r="S2" s="20" t="s">
        <v>194</v>
      </c>
    </row>
    <row r="3" spans="1:22">
      <c r="B3" s="20" t="s">
        <v>191</v>
      </c>
    </row>
    <row r="4" spans="1:22">
      <c r="B4" s="21" t="s">
        <v>61</v>
      </c>
      <c r="S4" s="229"/>
      <c r="T4" s="272" t="s">
        <v>178</v>
      </c>
      <c r="U4" s="272" t="s">
        <v>188</v>
      </c>
      <c r="V4" s="272" t="s">
        <v>189</v>
      </c>
    </row>
    <row r="5" spans="1:22">
      <c r="S5" s="230" t="s">
        <v>73</v>
      </c>
      <c r="T5" s="273"/>
      <c r="U5" s="273"/>
      <c r="V5" s="273"/>
    </row>
    <row r="6" spans="1:22">
      <c r="B6" s="22"/>
      <c r="C6" s="266" t="s">
        <v>178</v>
      </c>
      <c r="D6" s="267"/>
      <c r="E6" s="268"/>
      <c r="F6" s="266" t="s">
        <v>124</v>
      </c>
      <c r="G6" s="267"/>
      <c r="H6" s="268"/>
      <c r="I6" s="269" t="s">
        <v>123</v>
      </c>
      <c r="J6" s="22"/>
      <c r="K6" s="22"/>
      <c r="L6" s="22"/>
      <c r="M6" s="22"/>
      <c r="N6" s="22"/>
      <c r="O6" s="22"/>
      <c r="P6" s="22"/>
      <c r="S6" s="231"/>
      <c r="T6" s="274"/>
      <c r="U6" s="274"/>
      <c r="V6" s="274"/>
    </row>
    <row r="7" spans="1:22">
      <c r="B7" s="22"/>
      <c r="C7" s="80"/>
      <c r="D7" s="80" t="s">
        <v>64</v>
      </c>
      <c r="E7" s="80" t="s">
        <v>65</v>
      </c>
      <c r="F7" s="80"/>
      <c r="G7" s="80" t="s">
        <v>64</v>
      </c>
      <c r="H7" s="80" t="s">
        <v>65</v>
      </c>
      <c r="I7" s="270"/>
      <c r="J7" s="22"/>
      <c r="K7" s="22" t="s">
        <v>66</v>
      </c>
      <c r="L7" s="22"/>
      <c r="M7" s="22"/>
      <c r="N7" s="22"/>
      <c r="O7" s="22"/>
      <c r="P7" s="22"/>
      <c r="S7" s="229" t="s">
        <v>186</v>
      </c>
      <c r="T7" s="233">
        <f>'Graphiques 3 &amp; 4'!Q6+'Graphiques 7 &amp; 8'!Q6</f>
        <v>69711</v>
      </c>
      <c r="U7" s="236">
        <f>'Graphiques 3 &amp; 4'!S6+'Graphiques 7 &amp; 8'!S6</f>
        <v>167530174.49000001</v>
      </c>
      <c r="V7" s="238">
        <f>U7/T7</f>
        <v>2403.2100312719658</v>
      </c>
    </row>
    <row r="8" spans="1:22">
      <c r="B8" s="71" t="s">
        <v>140</v>
      </c>
      <c r="C8" s="72">
        <v>28035</v>
      </c>
      <c r="D8" s="77">
        <f t="shared" ref="D8:D22" si="0">C8/$C$22</f>
        <v>6.5598435090658505E-2</v>
      </c>
      <c r="E8" s="23">
        <f t="shared" ref="E8:E21" si="1">RANK(C8,$C$8:$C$21)</f>
        <v>5</v>
      </c>
      <c r="F8" s="73">
        <v>64341443.899999999</v>
      </c>
      <c r="G8" s="74">
        <f t="shared" ref="G8:G23" si="2">F8/$F$22</f>
        <v>7.5618720944276491E-2</v>
      </c>
      <c r="H8" s="23">
        <f t="shared" ref="H8:H21" si="3">RANK(F8,$F$8:$F$21)</f>
        <v>6</v>
      </c>
      <c r="I8" s="75">
        <f>F8/C8</f>
        <v>2295.0399108257534</v>
      </c>
      <c r="J8" s="264"/>
      <c r="K8" s="22"/>
      <c r="L8" s="271" t="s">
        <v>37</v>
      </c>
      <c r="M8" s="271"/>
      <c r="N8" s="271" t="s">
        <v>41</v>
      </c>
      <c r="O8" s="271"/>
      <c r="P8" s="22"/>
      <c r="S8" s="230" t="s">
        <v>80</v>
      </c>
      <c r="T8" s="234">
        <f>'Graphiques 3 &amp; 4'!Q11+'Graphiques 7 &amp; 8'!Q11</f>
        <v>3671</v>
      </c>
      <c r="U8" s="237">
        <f>'Graphiques 3 &amp; 4'!S11+'Graphiques 7 &amp; 8'!S11</f>
        <v>24330581.880000003</v>
      </c>
      <c r="V8" s="239">
        <f>U8/T8</f>
        <v>6627.7804086080096</v>
      </c>
    </row>
    <row r="9" spans="1:22" ht="15.75" thickBot="1">
      <c r="B9" s="71" t="s">
        <v>141</v>
      </c>
      <c r="C9" s="72">
        <v>7246</v>
      </c>
      <c r="D9" s="77">
        <f t="shared" si="0"/>
        <v>1.6954744450398129E-2</v>
      </c>
      <c r="E9" s="23">
        <f t="shared" si="1"/>
        <v>9</v>
      </c>
      <c r="F9" s="73">
        <v>16124358.329999998</v>
      </c>
      <c r="G9" s="74">
        <f t="shared" si="2"/>
        <v>1.8950512749711389E-2</v>
      </c>
      <c r="H9" s="23">
        <f t="shared" si="3"/>
        <v>10</v>
      </c>
      <c r="I9" s="75">
        <f t="shared" ref="I9:I21" si="4">F9/C9</f>
        <v>2225.2771639525254</v>
      </c>
      <c r="J9" s="265"/>
      <c r="K9" s="261" t="s">
        <v>67</v>
      </c>
      <c r="L9" s="174">
        <f>COUNTIF($D$8:$D$21,"&lt;0,01")</f>
        <v>3</v>
      </c>
      <c r="M9" s="157">
        <f>SUMIF($D$8:$D$21,"&lt;0,01",$D$8:$D$21)</f>
        <v>1.5171758627709284E-2</v>
      </c>
      <c r="N9" s="158">
        <f>COUNTIF($G$8:$G$21,"&lt;0,01")</f>
        <v>3</v>
      </c>
      <c r="O9" s="159">
        <f>SUMIF($G$8:$G$21,"&lt;0,01",$G$8:$G$21)</f>
        <v>1.7549547649427632E-2</v>
      </c>
      <c r="P9" s="22"/>
      <c r="S9" s="230" t="s">
        <v>81</v>
      </c>
      <c r="T9" s="234">
        <f>'Graphiques 3 &amp; 4'!Q16+'Graphiques 7 &amp; 8'!Q16</f>
        <v>366204</v>
      </c>
      <c r="U9" s="237">
        <f>'Graphiques 3 &amp; 4'!S16+'Graphiques 7 &amp; 8'!S16</f>
        <v>708862824.95599997</v>
      </c>
      <c r="V9" s="239">
        <f>U9/T9</f>
        <v>1935.7047573374402</v>
      </c>
    </row>
    <row r="10" spans="1:22" ht="15.75" thickBot="1">
      <c r="B10" s="71" t="s">
        <v>142</v>
      </c>
      <c r="C10" s="72">
        <v>10200</v>
      </c>
      <c r="D10" s="77">
        <f t="shared" si="0"/>
        <v>2.3866739358827067E-2</v>
      </c>
      <c r="E10" s="23">
        <f t="shared" si="1"/>
        <v>8</v>
      </c>
      <c r="F10" s="73">
        <v>29184206.140000001</v>
      </c>
      <c r="G10" s="74">
        <f t="shared" si="2"/>
        <v>3.4299390972805023E-2</v>
      </c>
      <c r="H10" s="23">
        <f t="shared" si="3"/>
        <v>8</v>
      </c>
      <c r="I10" s="75">
        <f t="shared" si="4"/>
        <v>2861.1966803921568</v>
      </c>
      <c r="J10" s="265"/>
      <c r="K10" s="262" t="s">
        <v>68</v>
      </c>
      <c r="L10" s="160">
        <f>COUNTIF($D$8:$D$21,"&lt;0,05")-L9</f>
        <v>5</v>
      </c>
      <c r="M10" s="161">
        <f>SUMIF($D$8:$D$21,"&lt;0,05",$D$8:$D$21)-M9</f>
        <v>9.8820000327582688E-2</v>
      </c>
      <c r="N10" s="176">
        <f>COUNTIF($G$8:$G$21,"&lt;0,05")-N9</f>
        <v>4</v>
      </c>
      <c r="O10" s="162">
        <f>SUMIF($G$8:$G$21,"&lt;0,05",$G$8:$G$21)-O9</f>
        <v>9.4912953650079512E-2</v>
      </c>
      <c r="P10" s="22"/>
      <c r="S10" s="232" t="s">
        <v>187</v>
      </c>
      <c r="T10" s="235">
        <f>SUM(T7:T9)</f>
        <v>439586</v>
      </c>
      <c r="U10" s="240">
        <f>SUM(U7:U9)</f>
        <v>900723581.32599998</v>
      </c>
      <c r="V10" s="241">
        <f>U10/T10</f>
        <v>2049.0269965967977</v>
      </c>
    </row>
    <row r="11" spans="1:22">
      <c r="B11" s="71" t="s">
        <v>143</v>
      </c>
      <c r="C11" s="72">
        <v>3293</v>
      </c>
      <c r="D11" s="77">
        <f t="shared" si="0"/>
        <v>7.7052130106487777E-3</v>
      </c>
      <c r="E11" s="23">
        <f t="shared" si="1"/>
        <v>12</v>
      </c>
      <c r="F11" s="73">
        <v>8048158.5199999996</v>
      </c>
      <c r="G11" s="74">
        <f t="shared" si="2"/>
        <v>9.4587782982467582E-3</v>
      </c>
      <c r="H11" s="23">
        <f t="shared" si="3"/>
        <v>12</v>
      </c>
      <c r="I11" s="75">
        <f t="shared" si="4"/>
        <v>2444.0202004251441</v>
      </c>
      <c r="J11" s="265"/>
      <c r="K11" s="261" t="s">
        <v>69</v>
      </c>
      <c r="L11" s="163">
        <f>COUNTIF($D$8:$D$21,"&lt;0,15")-L10-L9</f>
        <v>5</v>
      </c>
      <c r="M11" s="164">
        <f>SUMIF($D$8:$D$21,"&lt;0,15",$D$8:$D$21)-M10-M9</f>
        <v>0.39474650948936874</v>
      </c>
      <c r="N11" s="165">
        <f>COUNTIF($G$8:$G$21,"&lt;0,15")-N10-N9</f>
        <v>6</v>
      </c>
      <c r="O11" s="166">
        <f>SUMIF($G$8:$G$21,"&lt;0,15",$G$8:$G$21)-O10-O9</f>
        <v>0.54320966314726538</v>
      </c>
      <c r="P11" s="22"/>
    </row>
    <row r="12" spans="1:22">
      <c r="B12" s="71" t="s">
        <v>144</v>
      </c>
      <c r="C12" s="72">
        <v>2759</v>
      </c>
      <c r="D12" s="77">
        <f t="shared" si="0"/>
        <v>6.4557190089219486E-3</v>
      </c>
      <c r="E12" s="23">
        <f t="shared" si="1"/>
        <v>13</v>
      </c>
      <c r="F12" s="73">
        <v>4955434.05</v>
      </c>
      <c r="G12" s="74">
        <f t="shared" si="2"/>
        <v>5.8239846958845739E-3</v>
      </c>
      <c r="H12" s="23">
        <f t="shared" si="3"/>
        <v>13</v>
      </c>
      <c r="I12" s="75">
        <f t="shared" si="4"/>
        <v>1796.0978796665459</v>
      </c>
      <c r="J12" s="265"/>
      <c r="K12" s="262" t="s">
        <v>70</v>
      </c>
      <c r="L12" s="175">
        <f>COUNTIF($D$8:$D$21,"&gt;=0,15")</f>
        <v>1</v>
      </c>
      <c r="M12" s="167">
        <f>SUMIF($D$8:$D$21,"&gt;=0,15",$D$8:$D$21)</f>
        <v>0.49126173155533925</v>
      </c>
      <c r="N12" s="168">
        <f>COUNTIF($G$8:$G$21,"&gt;=0,15")</f>
        <v>1</v>
      </c>
      <c r="O12" s="169">
        <f>SUMIF($G$8:$G$21,"&gt;=0,15",$G$8:$G$21)</f>
        <v>0.34432783555322732</v>
      </c>
      <c r="P12" s="22"/>
    </row>
    <row r="13" spans="1:22">
      <c r="B13" s="71" t="s">
        <v>145</v>
      </c>
      <c r="C13" s="72">
        <v>209952</v>
      </c>
      <c r="D13" s="77">
        <f t="shared" si="0"/>
        <v>0.49126173155533925</v>
      </c>
      <c r="E13" s="23">
        <f t="shared" si="1"/>
        <v>1</v>
      </c>
      <c r="F13" s="73">
        <v>292977054.32999998</v>
      </c>
      <c r="G13" s="74">
        <f t="shared" si="2"/>
        <v>0.34432783555322732</v>
      </c>
      <c r="H13" s="23">
        <f t="shared" si="3"/>
        <v>1</v>
      </c>
      <c r="I13" s="75">
        <f t="shared" si="4"/>
        <v>1395.4477896376313</v>
      </c>
      <c r="J13" s="265"/>
      <c r="K13" s="263" t="s">
        <v>36</v>
      </c>
      <c r="L13" s="170">
        <f>SUM(L9:L12)</f>
        <v>14</v>
      </c>
      <c r="M13" s="171">
        <f>SUM(M9:M12)</f>
        <v>1</v>
      </c>
      <c r="N13" s="172">
        <f>SUM(N9:N12)</f>
        <v>14</v>
      </c>
      <c r="O13" s="173">
        <f>SUM(O9:O12)</f>
        <v>0.99999999999999989</v>
      </c>
      <c r="P13" s="22"/>
    </row>
    <row r="14" spans="1:22">
      <c r="B14" s="71" t="s">
        <v>146</v>
      </c>
      <c r="C14" s="72">
        <v>49546</v>
      </c>
      <c r="D14" s="77">
        <f t="shared" si="0"/>
        <v>0.11593151649729862</v>
      </c>
      <c r="E14" s="23">
        <f t="shared" si="1"/>
        <v>2</v>
      </c>
      <c r="F14" s="73">
        <v>69315962.079999998</v>
      </c>
      <c r="G14" s="74">
        <f t="shared" si="2"/>
        <v>8.1465134690761443E-2</v>
      </c>
      <c r="H14" s="23">
        <f t="shared" si="3"/>
        <v>5</v>
      </c>
      <c r="I14" s="75">
        <f t="shared" si="4"/>
        <v>1399.0223646712145</v>
      </c>
      <c r="J14" s="265"/>
      <c r="P14" s="22"/>
    </row>
    <row r="15" spans="1:22">
      <c r="B15" s="71" t="s">
        <v>147</v>
      </c>
      <c r="C15" s="72">
        <v>11667</v>
      </c>
      <c r="D15" s="77">
        <f t="shared" si="0"/>
        <v>2.7299338048964252E-2</v>
      </c>
      <c r="E15" s="23">
        <f t="shared" si="1"/>
        <v>7</v>
      </c>
      <c r="F15" s="73">
        <v>54364860.810000002</v>
      </c>
      <c r="G15" s="74">
        <f t="shared" si="2"/>
        <v>6.389351854078959E-2</v>
      </c>
      <c r="H15" s="23">
        <f t="shared" si="3"/>
        <v>7</v>
      </c>
      <c r="I15" s="75">
        <f t="shared" si="4"/>
        <v>4659.7120776549245</v>
      </c>
      <c r="J15" s="265"/>
      <c r="K15" s="22"/>
    </row>
    <row r="16" spans="1:22">
      <c r="B16" s="71" t="s">
        <v>148</v>
      </c>
      <c r="C16" s="72">
        <v>6438</v>
      </c>
      <c r="D16" s="77">
        <f t="shared" si="0"/>
        <v>1.506412431295379E-2</v>
      </c>
      <c r="E16" s="23">
        <f t="shared" si="1"/>
        <v>11</v>
      </c>
      <c r="F16" s="73">
        <v>20188450.739999998</v>
      </c>
      <c r="G16" s="74">
        <f t="shared" si="2"/>
        <v>2.3726928248269111E-2</v>
      </c>
      <c r="H16" s="23">
        <f t="shared" si="3"/>
        <v>9</v>
      </c>
      <c r="I16" s="75">
        <f t="shared" si="4"/>
        <v>3135.8264585274928</v>
      </c>
      <c r="J16" s="265"/>
      <c r="K16" s="223" t="s">
        <v>177</v>
      </c>
    </row>
    <row r="17" spans="1:22">
      <c r="B17" s="71" t="s">
        <v>149</v>
      </c>
      <c r="C17" s="72">
        <v>35700</v>
      </c>
      <c r="D17" s="77">
        <f t="shared" si="0"/>
        <v>8.3533587755894728E-2</v>
      </c>
      <c r="E17" s="23">
        <f t="shared" si="1"/>
        <v>3</v>
      </c>
      <c r="F17" s="73">
        <v>95611167.450000003</v>
      </c>
      <c r="G17" s="74">
        <f t="shared" si="2"/>
        <v>0.1123691628959238</v>
      </c>
      <c r="H17" s="23">
        <f t="shared" si="3"/>
        <v>2</v>
      </c>
      <c r="I17" s="75">
        <f t="shared" si="4"/>
        <v>2678.183962184874</v>
      </c>
      <c r="J17" s="265"/>
      <c r="K17" s="22"/>
    </row>
    <row r="18" spans="1:22">
      <c r="B18" s="71" t="s">
        <v>150</v>
      </c>
      <c r="C18" s="72">
        <v>30467</v>
      </c>
      <c r="D18" s="77">
        <f t="shared" si="0"/>
        <v>7.128901451425336E-2</v>
      </c>
      <c r="E18" s="23">
        <f t="shared" si="1"/>
        <v>4</v>
      </c>
      <c r="F18" s="73">
        <v>95045926.480000004</v>
      </c>
      <c r="G18" s="74">
        <f t="shared" si="2"/>
        <v>0.11170485080427828</v>
      </c>
      <c r="H18" s="23">
        <f t="shared" si="3"/>
        <v>3</v>
      </c>
      <c r="I18" s="75">
        <f t="shared" si="4"/>
        <v>3119.6352276233301</v>
      </c>
      <c r="J18" s="265"/>
    </row>
    <row r="19" spans="1:22">
      <c r="B19" s="71" t="s">
        <v>151</v>
      </c>
      <c r="C19" s="72">
        <v>6682</v>
      </c>
      <c r="D19" s="77">
        <f t="shared" si="0"/>
        <v>1.5635054156439458E-2</v>
      </c>
      <c r="E19" s="23">
        <f t="shared" si="1"/>
        <v>10</v>
      </c>
      <c r="F19" s="73">
        <v>15261246.85</v>
      </c>
      <c r="G19" s="74">
        <f t="shared" si="2"/>
        <v>1.7936121679293999E-2</v>
      </c>
      <c r="H19" s="23">
        <f t="shared" si="3"/>
        <v>11</v>
      </c>
      <c r="I19" s="75">
        <f t="shared" si="4"/>
        <v>2283.9339793475006</v>
      </c>
      <c r="J19" s="265"/>
      <c r="K19" s="22"/>
      <c r="M19" t="str">
        <f>"Nombre de bénéficiaires = "&amp;TEXT(T10,"# ##0")</f>
        <v>Nombre de bénéficiaires = 439 586</v>
      </c>
    </row>
    <row r="20" spans="1:22">
      <c r="B20" s="71" t="s">
        <v>152</v>
      </c>
      <c r="C20" s="78">
        <v>24956</v>
      </c>
      <c r="D20" s="77">
        <f t="shared" si="0"/>
        <v>5.839395563126356E-2</v>
      </c>
      <c r="E20" s="23">
        <f t="shared" si="1"/>
        <v>6</v>
      </c>
      <c r="F20" s="47">
        <v>83519597.829999998</v>
      </c>
      <c r="G20" s="74">
        <f t="shared" si="2"/>
        <v>9.8158275271235731E-2</v>
      </c>
      <c r="H20" s="23">
        <f t="shared" si="3"/>
        <v>4</v>
      </c>
      <c r="I20" s="75">
        <f t="shared" si="4"/>
        <v>3346.6740595447986</v>
      </c>
      <c r="J20" s="265"/>
      <c r="K20" s="22"/>
    </row>
    <row r="21" spans="1:22">
      <c r="B21" s="71" t="s">
        <v>122</v>
      </c>
      <c r="C21" s="72">
        <v>432</v>
      </c>
      <c r="D21" s="77">
        <f t="shared" si="0"/>
        <v>1.0108266081385582E-3</v>
      </c>
      <c r="E21" s="23">
        <f t="shared" si="1"/>
        <v>14</v>
      </c>
      <c r="F21" s="73">
        <v>1928731.35</v>
      </c>
      <c r="G21" s="74">
        <f t="shared" si="2"/>
        <v>2.2667846552962994E-3</v>
      </c>
      <c r="H21" s="23">
        <f t="shared" si="3"/>
        <v>14</v>
      </c>
      <c r="I21" s="75">
        <f t="shared" si="4"/>
        <v>4464.6559027777776</v>
      </c>
      <c r="J21" s="265"/>
      <c r="K21" s="24"/>
      <c r="L21" s="22"/>
      <c r="M21" s="24"/>
      <c r="N21" s="22"/>
      <c r="O21" s="22"/>
      <c r="P21" s="22"/>
    </row>
    <row r="22" spans="1:22" s="19" customFormat="1">
      <c r="A22"/>
      <c r="B22" s="147" t="s">
        <v>30</v>
      </c>
      <c r="C22" s="148">
        <f>SUM(C8:C21)</f>
        <v>427373</v>
      </c>
      <c r="D22" s="149">
        <f t="shared" si="0"/>
        <v>1</v>
      </c>
      <c r="E22" s="150"/>
      <c r="F22" s="132">
        <f>SUM(F8:F21)</f>
        <v>850866598.86000013</v>
      </c>
      <c r="G22" s="151">
        <f t="shared" si="2"/>
        <v>1</v>
      </c>
      <c r="H22" s="6"/>
      <c r="I22" s="152">
        <f>F22/C22</f>
        <v>1990.9226807964008</v>
      </c>
      <c r="J22" s="32"/>
      <c r="K22" s="32"/>
      <c r="L22" s="32"/>
      <c r="M22" s="32"/>
      <c r="N22" s="32"/>
      <c r="O22" s="32"/>
      <c r="P22" s="32"/>
      <c r="T22" s="228"/>
      <c r="U22" s="228"/>
      <c r="V22" s="228"/>
    </row>
    <row r="23" spans="1:22" s="19" customFormat="1">
      <c r="A23"/>
      <c r="B23" s="147" t="s">
        <v>196</v>
      </c>
      <c r="C23" s="155">
        <f>T10-C24-C22</f>
        <v>-495</v>
      </c>
      <c r="D23" s="149"/>
      <c r="E23" s="150"/>
      <c r="F23" s="155">
        <f>U10-F24-F22</f>
        <v>8564.3999998569489</v>
      </c>
      <c r="G23" s="250">
        <f t="shared" si="2"/>
        <v>1.0065502643224708E-5</v>
      </c>
      <c r="H23" s="251"/>
      <c r="I23" s="152"/>
      <c r="J23" s="32"/>
      <c r="K23" s="32"/>
      <c r="L23" s="32"/>
      <c r="M23" s="32"/>
      <c r="N23" s="32"/>
      <c r="O23" s="32"/>
      <c r="P23" s="32"/>
      <c r="T23" s="228"/>
      <c r="U23" s="228"/>
      <c r="V23" s="228"/>
    </row>
    <row r="24" spans="1:22" ht="29.25" customHeight="1">
      <c r="B24" s="249" t="s">
        <v>195</v>
      </c>
      <c r="C24" s="253">
        <f>'Données règlements européens'!X42+'Données règlements européens'!Z42+'Données conventions bilatérales'!X34+'Données conventions bilatérales'!Z34+'Données conventions bilatérales'!AB34+'Données conventions bilatérales'!AD34</f>
        <v>12708</v>
      </c>
      <c r="D24" s="254"/>
      <c r="E24" s="255"/>
      <c r="F24" s="256">
        <f>'Données règlements européens'!Y42+'Données règlements européens'!AA42+'Données conventions bilatérales'!Y34+'Données conventions bilatérales'!AA34+'Données conventions bilatérales'!AC34+'Données conventions bilatérales'!AE34</f>
        <v>49848418.066000007</v>
      </c>
      <c r="I24" s="156"/>
    </row>
    <row r="25" spans="1:22">
      <c r="B25" s="25" t="s">
        <v>120</v>
      </c>
    </row>
    <row r="26" spans="1:22">
      <c r="B26" t="s">
        <v>121</v>
      </c>
    </row>
    <row r="29" spans="1:22">
      <c r="F29" s="252"/>
    </row>
    <row r="31" spans="1:22">
      <c r="F31" s="247"/>
    </row>
    <row r="32" spans="1:22">
      <c r="F32" s="17"/>
    </row>
    <row r="35" spans="11:13">
      <c r="K35" s="223" t="s">
        <v>179</v>
      </c>
    </row>
    <row r="39" spans="11:13">
      <c r="M39" t="str">
        <f>"Dépenses = "&amp;TEXT(U10/1000000,"# ###,##")&amp;" millions d'€"</f>
        <v>Dépenses = 900,72 millions d'€</v>
      </c>
    </row>
  </sheetData>
  <mergeCells count="8">
    <mergeCell ref="T4:T6"/>
    <mergeCell ref="U4:U6"/>
    <mergeCell ref="V4:V6"/>
    <mergeCell ref="C6:E6"/>
    <mergeCell ref="F6:H6"/>
    <mergeCell ref="I6:I7"/>
    <mergeCell ref="L8:M8"/>
    <mergeCell ref="N8:O8"/>
  </mergeCells>
  <conditionalFormatting sqref="D24">
    <cfRule type="top10" dxfId="16" priority="4" rank="5"/>
  </conditionalFormatting>
  <conditionalFormatting sqref="D8:D21">
    <cfRule type="top10" dxfId="15" priority="9" rank="5"/>
    <cfRule type="top10" dxfId="14" priority="10" rank="5"/>
  </conditionalFormatting>
  <conditionalFormatting sqref="G8:G21">
    <cfRule type="top10" dxfId="13" priority="11" rank="5"/>
    <cfRule type="top10" dxfId="12" priority="12" rank="5"/>
  </conditionalFormatting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theme="3" tint="0.39997558519241921"/>
  </sheetPr>
  <dimension ref="A1:AG53"/>
  <sheetViews>
    <sheetView zoomScale="90" zoomScaleNormal="90" workbookViewId="0">
      <pane xSplit="1" ySplit="5" topLeftCell="B6" activePane="bottomRight" state="frozen"/>
      <selection activeCell="J95" sqref="J95"/>
      <selection pane="topRight" activeCell="J95" sqref="J95"/>
      <selection pane="bottomLeft" activeCell="J95" sqref="J95"/>
      <selection pane="bottomRight" activeCell="B6" sqref="B6"/>
    </sheetView>
  </sheetViews>
  <sheetFormatPr baseColWidth="10" defaultRowHeight="15"/>
  <cols>
    <col min="1" max="1" width="27.42578125" bestFit="1" customWidth="1"/>
    <col min="2" max="2" width="11.42578125" customWidth="1"/>
    <col min="3" max="3" width="12.7109375" bestFit="1" customWidth="1"/>
    <col min="4" max="4" width="17.5703125" bestFit="1" customWidth="1"/>
    <col min="5" max="5" width="15.42578125" bestFit="1" customWidth="1"/>
    <col min="6" max="6" width="14.7109375" bestFit="1" customWidth="1"/>
    <col min="7" max="7" width="15.42578125" bestFit="1" customWidth="1"/>
    <col min="8" max="9" width="17.5703125" bestFit="1" customWidth="1"/>
    <col min="10" max="10" width="12.7109375" bestFit="1" customWidth="1"/>
    <col min="11" max="11" width="13.5703125" customWidth="1"/>
    <col min="12" max="12" width="15.42578125" bestFit="1" customWidth="1"/>
    <col min="13" max="13" width="14.7109375" bestFit="1" customWidth="1"/>
    <col min="14" max="14" width="15.42578125" bestFit="1" customWidth="1"/>
    <col min="15" max="15" width="16.42578125" bestFit="1" customWidth="1"/>
    <col min="16" max="16" width="17.5703125" bestFit="1" customWidth="1"/>
    <col min="17" max="17" width="13.85546875" style="59" bestFit="1" customWidth="1"/>
    <col min="18" max="18" width="17.5703125" style="59" bestFit="1" customWidth="1"/>
    <col min="19" max="19" width="17.5703125" bestFit="1" customWidth="1"/>
    <col min="20" max="20" width="16.42578125" bestFit="1" customWidth="1"/>
    <col min="21" max="21" width="14.85546875" customWidth="1"/>
    <col min="22" max="23" width="17.5703125" bestFit="1" customWidth="1"/>
    <col min="24" max="29" width="13.42578125" customWidth="1"/>
    <col min="30" max="30" width="24.5703125" bestFit="1" customWidth="1"/>
    <col min="31" max="31" width="13.85546875" bestFit="1" customWidth="1"/>
    <col min="32" max="32" width="19.28515625" bestFit="1" customWidth="1"/>
  </cols>
  <sheetData>
    <row r="1" spans="1:33" ht="15.75" thickBot="1">
      <c r="A1" s="14" t="s">
        <v>58</v>
      </c>
      <c r="B1" s="193"/>
      <c r="C1" s="15" t="s">
        <v>59</v>
      </c>
      <c r="D1" s="15"/>
    </row>
    <row r="3" spans="1:33" s="5" customFormat="1">
      <c r="C3" s="275" t="s">
        <v>88</v>
      </c>
      <c r="D3" s="276"/>
      <c r="E3" s="276"/>
      <c r="F3" s="276"/>
      <c r="G3" s="276"/>
      <c r="H3" s="276"/>
      <c r="I3" s="277"/>
      <c r="J3" s="280" t="s">
        <v>38</v>
      </c>
      <c r="K3" s="281"/>
      <c r="L3" s="281"/>
      <c r="M3" s="281"/>
      <c r="N3" s="281"/>
      <c r="O3" s="281"/>
      <c r="P3" s="282"/>
      <c r="Q3" s="292" t="s">
        <v>39</v>
      </c>
      <c r="R3" s="293"/>
      <c r="S3" s="293"/>
      <c r="T3" s="293"/>
      <c r="U3" s="293"/>
      <c r="V3" s="293"/>
      <c r="W3" s="294"/>
      <c r="X3" s="291" t="s">
        <v>93</v>
      </c>
      <c r="Y3" s="291"/>
      <c r="Z3" s="306" t="s">
        <v>94</v>
      </c>
      <c r="AA3" s="306"/>
      <c r="AB3" s="307" t="s">
        <v>90</v>
      </c>
      <c r="AC3" s="308"/>
      <c r="AD3" s="88" t="s">
        <v>91</v>
      </c>
      <c r="AE3" s="309" t="s">
        <v>40</v>
      </c>
      <c r="AF3" s="310"/>
    </row>
    <row r="4" spans="1:33" s="5" customFormat="1">
      <c r="C4" s="278" t="s">
        <v>37</v>
      </c>
      <c r="D4" s="119"/>
      <c r="E4" s="285" t="s">
        <v>89</v>
      </c>
      <c r="F4" s="286"/>
      <c r="G4" s="286"/>
      <c r="H4" s="286"/>
      <c r="I4" s="287"/>
      <c r="J4" s="283" t="s">
        <v>37</v>
      </c>
      <c r="K4" s="120"/>
      <c r="L4" s="288" t="s">
        <v>89</v>
      </c>
      <c r="M4" s="289"/>
      <c r="N4" s="289"/>
      <c r="O4" s="289"/>
      <c r="P4" s="290"/>
      <c r="Q4" s="299" t="s">
        <v>37</v>
      </c>
      <c r="R4" s="121"/>
      <c r="S4" s="301" t="s">
        <v>89</v>
      </c>
      <c r="T4" s="302"/>
      <c r="U4" s="302"/>
      <c r="V4" s="302"/>
      <c r="W4" s="303"/>
      <c r="X4" s="295" t="s">
        <v>37</v>
      </c>
      <c r="Y4" s="295" t="s">
        <v>41</v>
      </c>
      <c r="Z4" s="297" t="s">
        <v>37</v>
      </c>
      <c r="AA4" s="297" t="s">
        <v>41</v>
      </c>
      <c r="AB4" s="311" t="s">
        <v>37</v>
      </c>
      <c r="AC4" s="311" t="s">
        <v>41</v>
      </c>
      <c r="AD4" s="304" t="s">
        <v>92</v>
      </c>
      <c r="AE4" s="313" t="s">
        <v>37</v>
      </c>
      <c r="AF4" s="315" t="s">
        <v>180</v>
      </c>
    </row>
    <row r="5" spans="1:33" s="5" customFormat="1">
      <c r="B5" s="194" t="s">
        <v>153</v>
      </c>
      <c r="C5" s="279"/>
      <c r="D5" s="83" t="s">
        <v>92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284"/>
      <c r="K5" s="85" t="s">
        <v>92</v>
      </c>
      <c r="L5" s="8" t="s">
        <v>31</v>
      </c>
      <c r="M5" s="8" t="s">
        <v>32</v>
      </c>
      <c r="N5" s="8" t="s">
        <v>33</v>
      </c>
      <c r="O5" s="8" t="s">
        <v>34</v>
      </c>
      <c r="P5" s="8" t="s">
        <v>35</v>
      </c>
      <c r="Q5" s="300"/>
      <c r="R5" s="84" t="s">
        <v>92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296"/>
      <c r="Y5" s="296"/>
      <c r="Z5" s="298"/>
      <c r="AA5" s="298"/>
      <c r="AB5" s="312"/>
      <c r="AC5" s="312"/>
      <c r="AD5" s="305"/>
      <c r="AE5" s="314"/>
      <c r="AF5" s="316"/>
    </row>
    <row r="6" spans="1:33" s="59" customFormat="1">
      <c r="A6" s="1" t="s">
        <v>8</v>
      </c>
      <c r="B6" s="195"/>
      <c r="C6" s="178">
        <v>7281</v>
      </c>
      <c r="D6" s="178">
        <f>SUM(E6:I6)</f>
        <v>14506879.609999999</v>
      </c>
      <c r="E6" s="178">
        <v>541411.30000000005</v>
      </c>
      <c r="F6" s="178">
        <v>4278.32</v>
      </c>
      <c r="G6" s="178">
        <v>192460.97</v>
      </c>
      <c r="H6" s="178">
        <v>13296400.65</v>
      </c>
      <c r="I6" s="178">
        <v>472328.37</v>
      </c>
      <c r="J6" s="178">
        <v>48</v>
      </c>
      <c r="K6" s="178">
        <f>SUM(L6:P6)</f>
        <v>364416.38999999996</v>
      </c>
      <c r="L6" s="178">
        <v>27554.93</v>
      </c>
      <c r="M6" s="178">
        <v>150.5</v>
      </c>
      <c r="N6" s="178">
        <v>26599.51</v>
      </c>
      <c r="O6" s="178">
        <v>299643.46999999997</v>
      </c>
      <c r="P6" s="178">
        <v>10467.98</v>
      </c>
      <c r="Q6" s="178">
        <v>53046</v>
      </c>
      <c r="R6" s="178">
        <f>SUM(S6:W6)</f>
        <v>90579799.110000014</v>
      </c>
      <c r="S6" s="178">
        <v>17718252.030000001</v>
      </c>
      <c r="T6" s="178">
        <v>3451559.6</v>
      </c>
      <c r="U6" s="178">
        <v>15233076.93</v>
      </c>
      <c r="V6" s="178">
        <v>30294777.620000001</v>
      </c>
      <c r="W6" s="178">
        <v>23882132.93</v>
      </c>
      <c r="X6" s="98"/>
      <c r="Y6" s="99"/>
      <c r="Z6" s="98"/>
      <c r="AA6" s="99"/>
      <c r="AB6" s="178">
        <v>24</v>
      </c>
      <c r="AC6" s="178">
        <v>2000.77</v>
      </c>
      <c r="AD6" s="182"/>
      <c r="AE6" s="182">
        <f>C6+J6+Q6+X6+Z6+AB6</f>
        <v>60399</v>
      </c>
      <c r="AF6" s="182">
        <f>D6+K6+R6+Y6+AA6+AC6</f>
        <v>105453095.88000001</v>
      </c>
      <c r="AG6" s="259"/>
    </row>
    <row r="7" spans="1:33" s="59" customFormat="1">
      <c r="A7" s="1" t="s">
        <v>95</v>
      </c>
      <c r="B7" s="195" t="s">
        <v>154</v>
      </c>
      <c r="C7" s="178">
        <v>0</v>
      </c>
      <c r="D7" s="178">
        <f t="shared" ref="D7:D41" si="0">SUM(E7:I7)</f>
        <v>0</v>
      </c>
      <c r="E7" s="178">
        <v>0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f t="shared" ref="K7:K41" si="1">SUM(L7:P7)</f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8">
        <f t="shared" ref="R7:R41" si="2">SUM(S7:W7)</f>
        <v>0</v>
      </c>
      <c r="S7" s="178">
        <v>0</v>
      </c>
      <c r="T7" s="178">
        <v>0</v>
      </c>
      <c r="U7" s="178">
        <v>0</v>
      </c>
      <c r="V7" s="178">
        <v>0</v>
      </c>
      <c r="W7" s="178">
        <v>0</v>
      </c>
      <c r="X7" s="98"/>
      <c r="Y7" s="99"/>
      <c r="Z7" s="98"/>
      <c r="AA7" s="99"/>
      <c r="AB7" s="178"/>
      <c r="AC7" s="178"/>
      <c r="AD7" s="182"/>
      <c r="AE7" s="182">
        <f t="shared" ref="AE7:AE41" si="3">C7+J7+Q7+X7+Z7+AB7</f>
        <v>0</v>
      </c>
      <c r="AF7" s="182">
        <f t="shared" ref="AF7:AF41" si="4">D7+K7+R7+Y7+AA7+AC7</f>
        <v>0</v>
      </c>
    </row>
    <row r="8" spans="1:33" s="59" customFormat="1">
      <c r="A8" s="1" t="s">
        <v>9</v>
      </c>
      <c r="B8" s="195"/>
      <c r="C8" s="178">
        <v>541</v>
      </c>
      <c r="D8" s="178">
        <f>SUM(E8:I8)</f>
        <v>849618.70000000007</v>
      </c>
      <c r="E8" s="178">
        <v>27921.87</v>
      </c>
      <c r="F8" s="178">
        <v>593.29</v>
      </c>
      <c r="G8" s="178">
        <v>4730.72</v>
      </c>
      <c r="H8" s="178">
        <v>777936.78</v>
      </c>
      <c r="I8" s="178">
        <v>38436.04</v>
      </c>
      <c r="J8" s="178">
        <v>3</v>
      </c>
      <c r="K8" s="178">
        <f t="shared" si="1"/>
        <v>7598.869999999999</v>
      </c>
      <c r="L8" s="178">
        <v>117</v>
      </c>
      <c r="M8" s="178">
        <v>0</v>
      </c>
      <c r="N8" s="178">
        <v>7.15</v>
      </c>
      <c r="O8" s="178">
        <v>6905.57</v>
      </c>
      <c r="P8" s="178">
        <v>569.15</v>
      </c>
      <c r="Q8" s="178">
        <v>185</v>
      </c>
      <c r="R8" s="178">
        <f t="shared" si="2"/>
        <v>588692.46</v>
      </c>
      <c r="S8" s="178">
        <v>57583.09</v>
      </c>
      <c r="T8" s="178">
        <v>6993.28</v>
      </c>
      <c r="U8" s="178">
        <v>75652.34</v>
      </c>
      <c r="V8" s="178">
        <v>287174.7</v>
      </c>
      <c r="W8" s="178">
        <v>161289.04999999999</v>
      </c>
      <c r="X8" s="98"/>
      <c r="Y8" s="99"/>
      <c r="Z8" s="98"/>
      <c r="AA8" s="99"/>
      <c r="AB8" s="178">
        <v>1</v>
      </c>
      <c r="AC8" s="178">
        <v>80.5</v>
      </c>
      <c r="AD8" s="97"/>
      <c r="AE8" s="182">
        <f t="shared" si="3"/>
        <v>730</v>
      </c>
      <c r="AF8" s="182">
        <f t="shared" si="4"/>
        <v>1445990.53</v>
      </c>
    </row>
    <row r="9" spans="1:33" s="59" customFormat="1">
      <c r="A9" s="1" t="s">
        <v>19</v>
      </c>
      <c r="B9" s="195"/>
      <c r="C9" s="178">
        <v>8413</v>
      </c>
      <c r="D9" s="178">
        <f t="shared" si="0"/>
        <v>21297265.899999999</v>
      </c>
      <c r="E9" s="178">
        <v>849256.84</v>
      </c>
      <c r="F9" s="178">
        <v>11590.31</v>
      </c>
      <c r="G9" s="178">
        <v>326106.8</v>
      </c>
      <c r="H9" s="178">
        <v>19192380.25</v>
      </c>
      <c r="I9" s="178">
        <v>917931.7</v>
      </c>
      <c r="J9" s="178">
        <v>1530</v>
      </c>
      <c r="K9" s="178">
        <f t="shared" si="1"/>
        <v>4016098.2600000002</v>
      </c>
      <c r="L9" s="178">
        <v>330311.15000000002</v>
      </c>
      <c r="M9" s="178">
        <v>57.84</v>
      </c>
      <c r="N9" s="178">
        <v>522520.34</v>
      </c>
      <c r="O9" s="178">
        <v>2683782.16</v>
      </c>
      <c r="P9" s="178">
        <v>479426.77</v>
      </c>
      <c r="Q9" s="178">
        <v>68364</v>
      </c>
      <c r="R9" s="178">
        <f t="shared" si="2"/>
        <v>134852486.78</v>
      </c>
      <c r="S9" s="178">
        <v>21421485.68</v>
      </c>
      <c r="T9" s="178">
        <v>2630414</v>
      </c>
      <c r="U9" s="178">
        <v>21470612.739999998</v>
      </c>
      <c r="V9" s="178">
        <v>52539645.340000004</v>
      </c>
      <c r="W9" s="178">
        <v>36790329.020000003</v>
      </c>
      <c r="X9" s="98"/>
      <c r="Y9" s="99"/>
      <c r="Z9" s="98"/>
      <c r="AA9" s="99"/>
      <c r="AB9" s="178">
        <v>1</v>
      </c>
      <c r="AC9" s="178">
        <v>80.5</v>
      </c>
      <c r="AD9" s="182">
        <v>12813268.079999998</v>
      </c>
      <c r="AE9" s="182">
        <f>C9+J9+Q9+X9+Z9+AB9</f>
        <v>78308</v>
      </c>
      <c r="AF9" s="182">
        <f>D9+K9+R9+Y9+AA9+AC9</f>
        <v>160165931.44</v>
      </c>
      <c r="AG9" s="259"/>
    </row>
    <row r="10" spans="1:33" s="59" customFormat="1">
      <c r="A10" s="1" t="s">
        <v>98</v>
      </c>
      <c r="B10" s="195" t="s">
        <v>154</v>
      </c>
      <c r="C10" s="178">
        <v>0</v>
      </c>
      <c r="D10" s="178">
        <f t="shared" si="0"/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f t="shared" si="1"/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f t="shared" si="2"/>
        <v>0</v>
      </c>
      <c r="S10" s="178">
        <v>0</v>
      </c>
      <c r="T10" s="178">
        <v>0</v>
      </c>
      <c r="U10" s="178">
        <v>0</v>
      </c>
      <c r="V10" s="178">
        <v>0</v>
      </c>
      <c r="W10" s="178">
        <v>0</v>
      </c>
      <c r="X10" s="98"/>
      <c r="Y10" s="99"/>
      <c r="Z10" s="98"/>
      <c r="AA10" s="99"/>
      <c r="AB10" s="178"/>
      <c r="AC10" s="178"/>
      <c r="AD10" s="182">
        <v>0</v>
      </c>
      <c r="AE10" s="182">
        <f t="shared" si="3"/>
        <v>0</v>
      </c>
      <c r="AF10" s="182">
        <f t="shared" si="4"/>
        <v>0</v>
      </c>
    </row>
    <row r="11" spans="1:33" s="59" customFormat="1">
      <c r="A11" s="1" t="s">
        <v>10</v>
      </c>
      <c r="B11" s="195"/>
      <c r="C11" s="178">
        <v>380</v>
      </c>
      <c r="D11" s="178">
        <f t="shared" si="0"/>
        <v>1718592.93</v>
      </c>
      <c r="E11" s="178">
        <v>73523.72</v>
      </c>
      <c r="F11" s="178">
        <v>259.82</v>
      </c>
      <c r="G11" s="178">
        <v>158775.26</v>
      </c>
      <c r="H11" s="178">
        <v>1341834.98</v>
      </c>
      <c r="I11" s="178">
        <v>144199.15</v>
      </c>
      <c r="J11" s="178">
        <v>41</v>
      </c>
      <c r="K11" s="178">
        <f t="shared" si="1"/>
        <v>1181658.54</v>
      </c>
      <c r="L11" s="178">
        <v>28302.61</v>
      </c>
      <c r="M11" s="178">
        <v>0</v>
      </c>
      <c r="N11" s="178">
        <v>334428.93</v>
      </c>
      <c r="O11" s="178">
        <v>630093.27</v>
      </c>
      <c r="P11" s="178">
        <v>188833.73</v>
      </c>
      <c r="Q11" s="178">
        <v>365</v>
      </c>
      <c r="R11" s="178">
        <f t="shared" si="2"/>
        <v>2091049.2400000002</v>
      </c>
      <c r="S11" s="178">
        <v>231826.52</v>
      </c>
      <c r="T11" s="178">
        <v>39891.93</v>
      </c>
      <c r="U11" s="178">
        <v>296972.59999999998</v>
      </c>
      <c r="V11" s="178">
        <v>1164859.6200000001</v>
      </c>
      <c r="W11" s="178">
        <v>357498.57</v>
      </c>
      <c r="X11" s="98"/>
      <c r="Y11" s="99"/>
      <c r="Z11" s="98"/>
      <c r="AA11" s="99"/>
      <c r="AB11" s="178">
        <v>1</v>
      </c>
      <c r="AC11" s="178">
        <v>80.5</v>
      </c>
      <c r="AD11" s="97"/>
      <c r="AE11" s="182">
        <f t="shared" si="3"/>
        <v>787</v>
      </c>
      <c r="AF11" s="182">
        <f t="shared" si="4"/>
        <v>4991381.21</v>
      </c>
    </row>
    <row r="12" spans="1:33" s="59" customFormat="1">
      <c r="A12" s="1" t="s">
        <v>29</v>
      </c>
      <c r="B12" s="195"/>
      <c r="C12" s="178">
        <v>25</v>
      </c>
      <c r="D12" s="178">
        <f t="shared" si="0"/>
        <v>50997.96</v>
      </c>
      <c r="E12" s="178">
        <v>1094.22</v>
      </c>
      <c r="F12" s="178">
        <v>30.36</v>
      </c>
      <c r="G12" s="178">
        <v>33.21</v>
      </c>
      <c r="H12" s="178">
        <v>49034.43</v>
      </c>
      <c r="I12" s="178">
        <v>805.74</v>
      </c>
      <c r="J12" s="178">
        <v>20</v>
      </c>
      <c r="K12" s="178">
        <f t="shared" si="1"/>
        <v>1344941.2500000002</v>
      </c>
      <c r="L12" s="178">
        <v>7819.05</v>
      </c>
      <c r="M12" s="178">
        <v>0</v>
      </c>
      <c r="N12" s="178">
        <v>14560.29</v>
      </c>
      <c r="O12" s="178">
        <v>1296490.6100000001</v>
      </c>
      <c r="P12" s="178">
        <v>26071.3</v>
      </c>
      <c r="Q12" s="178">
        <v>11</v>
      </c>
      <c r="R12" s="178">
        <f t="shared" si="2"/>
        <v>51747.94</v>
      </c>
      <c r="S12" s="178">
        <v>2336.27</v>
      </c>
      <c r="T12" s="178">
        <v>320.51</v>
      </c>
      <c r="U12" s="178">
        <v>1700.42</v>
      </c>
      <c r="V12" s="178">
        <v>22685.82</v>
      </c>
      <c r="W12" s="178">
        <v>24704.92</v>
      </c>
      <c r="X12" s="179"/>
      <c r="Y12" s="179"/>
      <c r="Z12" s="180"/>
      <c r="AA12" s="180"/>
      <c r="AB12" s="178">
        <v>0</v>
      </c>
      <c r="AC12" s="178">
        <v>0</v>
      </c>
      <c r="AD12" s="181"/>
      <c r="AE12" s="182">
        <f t="shared" si="3"/>
        <v>56</v>
      </c>
      <c r="AF12" s="182">
        <f t="shared" si="4"/>
        <v>1447687.1500000001</v>
      </c>
    </row>
    <row r="13" spans="1:33" s="59" customFormat="1">
      <c r="A13" s="1" t="s">
        <v>42</v>
      </c>
      <c r="B13" s="195"/>
      <c r="C13" s="178">
        <v>132</v>
      </c>
      <c r="D13" s="178">
        <f t="shared" si="0"/>
        <v>219824.11</v>
      </c>
      <c r="E13" s="178">
        <v>7391.76</v>
      </c>
      <c r="F13" s="178">
        <v>20.239999999999998</v>
      </c>
      <c r="G13" s="178">
        <v>61422.15</v>
      </c>
      <c r="H13" s="178">
        <v>144056.13</v>
      </c>
      <c r="I13" s="178">
        <v>6933.83</v>
      </c>
      <c r="J13" s="178">
        <v>7</v>
      </c>
      <c r="K13" s="178">
        <f t="shared" si="1"/>
        <v>128296.21999999999</v>
      </c>
      <c r="L13" s="178">
        <v>3603.2</v>
      </c>
      <c r="M13" s="178">
        <v>0</v>
      </c>
      <c r="N13" s="178">
        <v>0</v>
      </c>
      <c r="O13" s="178">
        <v>122327.79</v>
      </c>
      <c r="P13" s="178">
        <v>2365.23</v>
      </c>
      <c r="Q13" s="178">
        <v>11</v>
      </c>
      <c r="R13" s="178">
        <f t="shared" si="2"/>
        <v>11968.47</v>
      </c>
      <c r="S13" s="178">
        <v>3208.81</v>
      </c>
      <c r="T13" s="178">
        <v>0</v>
      </c>
      <c r="U13" s="178">
        <v>370.29</v>
      </c>
      <c r="V13" s="178">
        <v>5188.21</v>
      </c>
      <c r="W13" s="178">
        <v>3201.16</v>
      </c>
      <c r="X13" s="179"/>
      <c r="Y13" s="179"/>
      <c r="Z13" s="179"/>
      <c r="AA13" s="179"/>
      <c r="AB13" s="178">
        <v>0</v>
      </c>
      <c r="AC13" s="178">
        <v>0</v>
      </c>
      <c r="AD13" s="181"/>
      <c r="AE13" s="182">
        <f t="shared" si="3"/>
        <v>150</v>
      </c>
      <c r="AF13" s="182">
        <f t="shared" si="4"/>
        <v>360088.79999999993</v>
      </c>
    </row>
    <row r="14" spans="1:33" s="59" customFormat="1">
      <c r="A14" s="1" t="s">
        <v>0</v>
      </c>
      <c r="B14" s="195"/>
      <c r="C14" s="178">
        <v>757</v>
      </c>
      <c r="D14" s="178">
        <f t="shared" si="0"/>
        <v>1711237.8499999999</v>
      </c>
      <c r="E14" s="178">
        <v>54873.88</v>
      </c>
      <c r="F14" s="178">
        <v>180.5</v>
      </c>
      <c r="G14" s="178">
        <v>2361.04</v>
      </c>
      <c r="H14" s="178">
        <v>1615823.9</v>
      </c>
      <c r="I14" s="178">
        <v>37998.53</v>
      </c>
      <c r="J14" s="178">
        <v>13</v>
      </c>
      <c r="K14" s="178">
        <f t="shared" si="1"/>
        <v>115340.86</v>
      </c>
      <c r="L14" s="178">
        <v>566.91</v>
      </c>
      <c r="M14" s="178">
        <v>0</v>
      </c>
      <c r="N14" s="178">
        <v>0</v>
      </c>
      <c r="O14" s="178">
        <v>110786.04</v>
      </c>
      <c r="P14" s="178">
        <v>3987.91</v>
      </c>
      <c r="Q14" s="178">
        <v>1264</v>
      </c>
      <c r="R14" s="178">
        <f t="shared" si="2"/>
        <v>3751223.5</v>
      </c>
      <c r="S14" s="178">
        <v>630539.66</v>
      </c>
      <c r="T14" s="178">
        <v>70401.539999999994</v>
      </c>
      <c r="U14" s="178">
        <v>567830.18000000005</v>
      </c>
      <c r="V14" s="178">
        <v>1657647.32</v>
      </c>
      <c r="W14" s="178">
        <v>824804.8</v>
      </c>
      <c r="X14" s="179"/>
      <c r="Y14" s="179"/>
      <c r="Z14" s="179"/>
      <c r="AA14" s="179"/>
      <c r="AB14" s="178">
        <v>1</v>
      </c>
      <c r="AC14" s="178">
        <v>80.5</v>
      </c>
      <c r="AD14" s="181"/>
      <c r="AE14" s="182">
        <f t="shared" si="3"/>
        <v>2035</v>
      </c>
      <c r="AF14" s="182">
        <f t="shared" si="4"/>
        <v>5577882.71</v>
      </c>
    </row>
    <row r="15" spans="1:33" s="59" customFormat="1">
      <c r="A15" s="1" t="s">
        <v>21</v>
      </c>
      <c r="B15" s="195"/>
      <c r="C15" s="178">
        <v>4432</v>
      </c>
      <c r="D15" s="178">
        <f t="shared" si="0"/>
        <v>9549377.1400000006</v>
      </c>
      <c r="E15" s="178">
        <v>392679.99</v>
      </c>
      <c r="F15" s="178">
        <v>6699.34</v>
      </c>
      <c r="G15" s="178">
        <v>214840.03</v>
      </c>
      <c r="H15" s="178">
        <v>8577760.6400000006</v>
      </c>
      <c r="I15" s="178">
        <v>357397.14</v>
      </c>
      <c r="J15" s="178">
        <v>56</v>
      </c>
      <c r="K15" s="178">
        <f t="shared" si="1"/>
        <v>502789.69</v>
      </c>
      <c r="L15" s="178">
        <v>7856.26</v>
      </c>
      <c r="M15" s="178">
        <v>0</v>
      </c>
      <c r="N15" s="178">
        <v>1347.42</v>
      </c>
      <c r="O15" s="178">
        <v>175237.13</v>
      </c>
      <c r="P15" s="178">
        <v>318348.88</v>
      </c>
      <c r="Q15" s="178">
        <v>5771</v>
      </c>
      <c r="R15" s="178">
        <f t="shared" si="2"/>
        <v>8450826.6799999997</v>
      </c>
      <c r="S15" s="178">
        <v>1203948.33</v>
      </c>
      <c r="T15" s="178">
        <v>237873.63</v>
      </c>
      <c r="U15" s="178">
        <v>1150425.5</v>
      </c>
      <c r="V15" s="178">
        <v>3351413.26</v>
      </c>
      <c r="W15" s="178">
        <v>2507165.96</v>
      </c>
      <c r="X15" s="180"/>
      <c r="Y15" s="180"/>
      <c r="Z15" s="180"/>
      <c r="AA15" s="180"/>
      <c r="AB15" s="178">
        <v>32</v>
      </c>
      <c r="AC15" s="178">
        <v>2616.02</v>
      </c>
      <c r="AD15" s="181"/>
      <c r="AE15" s="182">
        <f t="shared" si="3"/>
        <v>10291</v>
      </c>
      <c r="AF15" s="182">
        <f t="shared" si="4"/>
        <v>18505609.529999997</v>
      </c>
    </row>
    <row r="16" spans="1:33" s="59" customFormat="1">
      <c r="A16" s="1" t="s">
        <v>5</v>
      </c>
      <c r="B16" s="195"/>
      <c r="C16" s="178">
        <v>57</v>
      </c>
      <c r="D16" s="178">
        <f t="shared" si="0"/>
        <v>196128.32</v>
      </c>
      <c r="E16" s="178">
        <v>4095.35</v>
      </c>
      <c r="F16" s="178">
        <v>0</v>
      </c>
      <c r="G16" s="178">
        <v>104.77</v>
      </c>
      <c r="H16" s="178">
        <v>187070.89</v>
      </c>
      <c r="I16" s="178">
        <v>4857.3100000000004</v>
      </c>
      <c r="J16" s="178">
        <v>1</v>
      </c>
      <c r="K16" s="178">
        <f t="shared" si="1"/>
        <v>72.209999999999994</v>
      </c>
      <c r="L16" s="178">
        <v>72.209999999999994</v>
      </c>
      <c r="M16" s="178">
        <v>0</v>
      </c>
      <c r="N16" s="178">
        <v>0</v>
      </c>
      <c r="O16" s="178">
        <v>0</v>
      </c>
      <c r="P16" s="178">
        <v>0</v>
      </c>
      <c r="Q16" s="178">
        <v>112</v>
      </c>
      <c r="R16" s="178">
        <f t="shared" si="2"/>
        <v>187193.06</v>
      </c>
      <c r="S16" s="178">
        <v>26115.33</v>
      </c>
      <c r="T16" s="178">
        <v>5405.44</v>
      </c>
      <c r="U16" s="178">
        <v>41353.949999999997</v>
      </c>
      <c r="V16" s="178">
        <v>47197.07</v>
      </c>
      <c r="W16" s="178">
        <v>67121.27</v>
      </c>
      <c r="X16" s="180"/>
      <c r="Y16" s="180"/>
      <c r="Z16" s="180"/>
      <c r="AA16" s="180"/>
      <c r="AB16" s="178">
        <v>0</v>
      </c>
      <c r="AC16" s="178">
        <v>0</v>
      </c>
      <c r="AD16" s="181"/>
      <c r="AE16" s="182">
        <f t="shared" si="3"/>
        <v>170</v>
      </c>
      <c r="AF16" s="182">
        <f t="shared" si="4"/>
        <v>383393.58999999997</v>
      </c>
    </row>
    <row r="17" spans="1:33" s="59" customFormat="1">
      <c r="A17" s="1" t="s">
        <v>4</v>
      </c>
      <c r="B17" s="195"/>
      <c r="C17" s="178">
        <v>234</v>
      </c>
      <c r="D17" s="178">
        <f t="shared" si="0"/>
        <v>614497.66</v>
      </c>
      <c r="E17" s="178">
        <v>11784.55</v>
      </c>
      <c r="F17" s="178">
        <v>75.91</v>
      </c>
      <c r="G17" s="178">
        <v>2455.44</v>
      </c>
      <c r="H17" s="178">
        <v>592784.31000000006</v>
      </c>
      <c r="I17" s="178">
        <v>7397.45</v>
      </c>
      <c r="J17" s="178">
        <v>7</v>
      </c>
      <c r="K17" s="178">
        <f t="shared" si="1"/>
        <v>43738.97</v>
      </c>
      <c r="L17" s="178">
        <v>893.32</v>
      </c>
      <c r="M17" s="178">
        <v>0</v>
      </c>
      <c r="N17" s="178">
        <v>248.55</v>
      </c>
      <c r="O17" s="178">
        <v>42503.14</v>
      </c>
      <c r="P17" s="178">
        <v>93.96</v>
      </c>
      <c r="Q17" s="178">
        <v>248</v>
      </c>
      <c r="R17" s="178">
        <f t="shared" si="2"/>
        <v>613840.79</v>
      </c>
      <c r="S17" s="178">
        <v>76185.03</v>
      </c>
      <c r="T17" s="178">
        <v>12700.86</v>
      </c>
      <c r="U17" s="178">
        <v>80924.7</v>
      </c>
      <c r="V17" s="178">
        <v>305227.96000000002</v>
      </c>
      <c r="W17" s="178">
        <v>138802.23999999999</v>
      </c>
      <c r="X17" s="180"/>
      <c r="Y17" s="180"/>
      <c r="Z17" s="180"/>
      <c r="AA17" s="180"/>
      <c r="AB17" s="178">
        <v>0</v>
      </c>
      <c r="AC17" s="178">
        <v>0</v>
      </c>
      <c r="AD17" s="181"/>
      <c r="AE17" s="182">
        <f t="shared" si="3"/>
        <v>489</v>
      </c>
      <c r="AF17" s="182">
        <f t="shared" si="4"/>
        <v>1272077.42</v>
      </c>
    </row>
    <row r="18" spans="1:33" s="59" customFormat="1">
      <c r="A18" s="1" t="s">
        <v>17</v>
      </c>
      <c r="B18" s="195"/>
      <c r="C18" s="178">
        <v>278</v>
      </c>
      <c r="D18" s="178">
        <f t="shared" si="0"/>
        <v>1125208.1700000002</v>
      </c>
      <c r="E18" s="178">
        <v>52882.26</v>
      </c>
      <c r="F18" s="178">
        <v>2020.41</v>
      </c>
      <c r="G18" s="178">
        <v>6879.13</v>
      </c>
      <c r="H18" s="178">
        <v>979703.88</v>
      </c>
      <c r="I18" s="178">
        <v>83722.490000000005</v>
      </c>
      <c r="J18" s="178">
        <v>38</v>
      </c>
      <c r="K18" s="178">
        <f t="shared" si="1"/>
        <v>917817.16</v>
      </c>
      <c r="L18" s="178">
        <v>8277.1299999999992</v>
      </c>
      <c r="M18" s="178">
        <v>0</v>
      </c>
      <c r="N18" s="178">
        <v>21961.18</v>
      </c>
      <c r="O18" s="178">
        <v>855246.99</v>
      </c>
      <c r="P18" s="178">
        <v>32331.86</v>
      </c>
      <c r="Q18" s="178">
        <v>265</v>
      </c>
      <c r="R18" s="178">
        <f t="shared" si="2"/>
        <v>927589.96999999986</v>
      </c>
      <c r="S18" s="178">
        <v>236391.58</v>
      </c>
      <c r="T18" s="178">
        <v>7184.86</v>
      </c>
      <c r="U18" s="178">
        <v>146525.85999999999</v>
      </c>
      <c r="V18" s="178">
        <v>363962.34</v>
      </c>
      <c r="W18" s="178">
        <v>173525.33</v>
      </c>
      <c r="X18" s="180"/>
      <c r="Y18" s="180"/>
      <c r="Z18" s="180"/>
      <c r="AA18" s="180"/>
      <c r="AB18" s="178">
        <v>0</v>
      </c>
      <c r="AC18" s="178">
        <v>0</v>
      </c>
      <c r="AD18" s="181"/>
      <c r="AE18" s="182">
        <f t="shared" si="3"/>
        <v>581</v>
      </c>
      <c r="AF18" s="182">
        <f t="shared" si="4"/>
        <v>2970615.3</v>
      </c>
    </row>
    <row r="19" spans="1:33" s="59" customFormat="1">
      <c r="A19" s="1" t="s">
        <v>11</v>
      </c>
      <c r="B19" s="195"/>
      <c r="C19" s="178">
        <v>255</v>
      </c>
      <c r="D19" s="178">
        <f t="shared" si="0"/>
        <v>671007.39</v>
      </c>
      <c r="E19" s="178">
        <v>25875.86</v>
      </c>
      <c r="F19" s="178">
        <v>359.34</v>
      </c>
      <c r="G19" s="178">
        <v>3523.82</v>
      </c>
      <c r="H19" s="178">
        <v>635007.53</v>
      </c>
      <c r="I19" s="178">
        <v>6240.84</v>
      </c>
      <c r="J19" s="178">
        <v>6</v>
      </c>
      <c r="K19" s="178">
        <f t="shared" si="1"/>
        <v>113773.53</v>
      </c>
      <c r="L19" s="178">
        <v>2748.43</v>
      </c>
      <c r="M19" s="178">
        <v>0</v>
      </c>
      <c r="N19" s="178">
        <v>0</v>
      </c>
      <c r="O19" s="178">
        <v>110712.13</v>
      </c>
      <c r="P19" s="178">
        <v>312.97000000000003</v>
      </c>
      <c r="Q19" s="178">
        <v>68</v>
      </c>
      <c r="R19" s="178">
        <f t="shared" si="2"/>
        <v>316498.09000000003</v>
      </c>
      <c r="S19" s="178">
        <v>27258.45</v>
      </c>
      <c r="T19" s="178">
        <v>470.38</v>
      </c>
      <c r="U19" s="178">
        <v>54682.52</v>
      </c>
      <c r="V19" s="178">
        <v>190666.05</v>
      </c>
      <c r="W19" s="178">
        <v>43420.69</v>
      </c>
      <c r="X19" s="180"/>
      <c r="Y19" s="180"/>
      <c r="Z19" s="179"/>
      <c r="AA19" s="179"/>
      <c r="AB19" s="178">
        <v>0</v>
      </c>
      <c r="AC19" s="178">
        <v>0</v>
      </c>
      <c r="AD19" s="181"/>
      <c r="AE19" s="182">
        <f t="shared" si="3"/>
        <v>329</v>
      </c>
      <c r="AF19" s="182">
        <f t="shared" si="4"/>
        <v>1101279.01</v>
      </c>
    </row>
    <row r="20" spans="1:33" s="59" customFormat="1">
      <c r="A20" s="1" t="s">
        <v>23</v>
      </c>
      <c r="B20" s="195"/>
      <c r="C20" s="178">
        <v>1030</v>
      </c>
      <c r="D20" s="178">
        <f t="shared" si="0"/>
        <v>1579011.2599999998</v>
      </c>
      <c r="E20" s="178">
        <v>80446.11</v>
      </c>
      <c r="F20" s="178">
        <v>3007.77</v>
      </c>
      <c r="G20" s="178">
        <v>12294.6</v>
      </c>
      <c r="H20" s="178">
        <v>1393800.39</v>
      </c>
      <c r="I20" s="178">
        <v>89462.39</v>
      </c>
      <c r="J20" s="178">
        <v>2</v>
      </c>
      <c r="K20" s="178">
        <f t="shared" si="1"/>
        <v>23090</v>
      </c>
      <c r="L20" s="178">
        <v>0</v>
      </c>
      <c r="M20" s="178">
        <v>0</v>
      </c>
      <c r="N20" s="178">
        <v>0</v>
      </c>
      <c r="O20" s="178">
        <v>23090</v>
      </c>
      <c r="P20" s="178">
        <v>0</v>
      </c>
      <c r="Q20" s="178">
        <v>397</v>
      </c>
      <c r="R20" s="178">
        <f t="shared" si="2"/>
        <v>896694.05</v>
      </c>
      <c r="S20" s="178">
        <v>131791.49</v>
      </c>
      <c r="T20" s="178">
        <v>13143.53</v>
      </c>
      <c r="U20" s="178">
        <v>136482.12</v>
      </c>
      <c r="V20" s="178">
        <v>428574.09</v>
      </c>
      <c r="W20" s="178">
        <v>186702.82</v>
      </c>
      <c r="X20" s="179"/>
      <c r="Y20" s="179"/>
      <c r="Z20" s="179"/>
      <c r="AA20" s="179"/>
      <c r="AB20" s="178">
        <v>0</v>
      </c>
      <c r="AC20" s="178">
        <v>0</v>
      </c>
      <c r="AD20" s="181"/>
      <c r="AE20" s="182">
        <f t="shared" si="3"/>
        <v>1429</v>
      </c>
      <c r="AF20" s="182">
        <f t="shared" si="4"/>
        <v>2498795.3099999996</v>
      </c>
    </row>
    <row r="21" spans="1:33" s="59" customFormat="1">
      <c r="A21" s="1" t="s">
        <v>1</v>
      </c>
      <c r="B21" s="195"/>
      <c r="C21" s="178">
        <v>35</v>
      </c>
      <c r="D21" s="178">
        <f t="shared" si="0"/>
        <v>47188.76</v>
      </c>
      <c r="E21" s="178">
        <v>2063.2199999999998</v>
      </c>
      <c r="F21" s="178">
        <v>28.68</v>
      </c>
      <c r="G21" s="178">
        <v>0</v>
      </c>
      <c r="H21" s="178">
        <v>44193.24</v>
      </c>
      <c r="I21" s="178">
        <v>903.62</v>
      </c>
      <c r="J21" s="178">
        <v>0</v>
      </c>
      <c r="K21" s="178">
        <f t="shared" si="1"/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11</v>
      </c>
      <c r="R21" s="178">
        <f t="shared" si="2"/>
        <v>7250.2</v>
      </c>
      <c r="S21" s="178">
        <v>1195.1300000000001</v>
      </c>
      <c r="T21" s="178">
        <v>124.84</v>
      </c>
      <c r="U21" s="178">
        <v>2753.99</v>
      </c>
      <c r="V21" s="178">
        <v>25.32</v>
      </c>
      <c r="W21" s="178">
        <v>3150.92</v>
      </c>
      <c r="X21" s="179"/>
      <c r="Y21" s="179"/>
      <c r="Z21" s="179"/>
      <c r="AA21" s="179"/>
      <c r="AB21" s="178"/>
      <c r="AC21" s="178"/>
      <c r="AD21" s="181"/>
      <c r="AE21" s="182">
        <f t="shared" si="3"/>
        <v>46</v>
      </c>
      <c r="AF21" s="182">
        <f t="shared" si="4"/>
        <v>54438.96</v>
      </c>
    </row>
    <row r="22" spans="1:33" s="59" customFormat="1">
      <c r="A22" s="1" t="s">
        <v>18</v>
      </c>
      <c r="B22" s="195"/>
      <c r="C22" s="178">
        <v>10441</v>
      </c>
      <c r="D22" s="178">
        <f t="shared" si="0"/>
        <v>22364741.129999999</v>
      </c>
      <c r="E22" s="178">
        <v>1253350.99</v>
      </c>
      <c r="F22" s="178">
        <v>34611.339999999997</v>
      </c>
      <c r="G22" s="178">
        <v>698608.58</v>
      </c>
      <c r="H22" s="178">
        <v>18889292.68</v>
      </c>
      <c r="I22" s="178">
        <v>1488877.54</v>
      </c>
      <c r="J22" s="178">
        <v>593</v>
      </c>
      <c r="K22" s="178">
        <f t="shared" si="1"/>
        <v>4954092.8599999994</v>
      </c>
      <c r="L22" s="178">
        <v>590487.82999999996</v>
      </c>
      <c r="M22" s="178">
        <v>0</v>
      </c>
      <c r="N22" s="178">
        <v>407452.81</v>
      </c>
      <c r="O22" s="178">
        <v>3429896.67</v>
      </c>
      <c r="P22" s="178">
        <v>526255.55000000005</v>
      </c>
      <c r="Q22" s="178">
        <v>3732</v>
      </c>
      <c r="R22" s="178">
        <f t="shared" si="2"/>
        <v>16165584.460000001</v>
      </c>
      <c r="S22" s="178">
        <v>1809536.51</v>
      </c>
      <c r="T22" s="178">
        <v>165191.06</v>
      </c>
      <c r="U22" s="178">
        <v>3005457.88</v>
      </c>
      <c r="V22" s="178">
        <v>6479640.1399999997</v>
      </c>
      <c r="W22" s="178">
        <v>4705758.87</v>
      </c>
      <c r="X22" s="179"/>
      <c r="Y22" s="179"/>
      <c r="Z22" s="179"/>
      <c r="AA22" s="179"/>
      <c r="AB22" s="178"/>
      <c r="AC22" s="178"/>
      <c r="AD22" s="181"/>
      <c r="AE22" s="182">
        <f t="shared" si="3"/>
        <v>14766</v>
      </c>
      <c r="AF22" s="182">
        <f t="shared" si="4"/>
        <v>43484418.450000003</v>
      </c>
    </row>
    <row r="23" spans="1:33" s="59" customFormat="1">
      <c r="A23" s="1" t="s">
        <v>6</v>
      </c>
      <c r="B23" s="195"/>
      <c r="C23" s="178">
        <v>91</v>
      </c>
      <c r="D23" s="178">
        <f t="shared" si="0"/>
        <v>371262.71999999997</v>
      </c>
      <c r="E23" s="178">
        <v>5031.41</v>
      </c>
      <c r="F23" s="178">
        <v>80.98</v>
      </c>
      <c r="G23" s="178">
        <v>62.04</v>
      </c>
      <c r="H23" s="178">
        <v>360694.35</v>
      </c>
      <c r="I23" s="178">
        <v>5393.94</v>
      </c>
      <c r="J23" s="178">
        <v>0</v>
      </c>
      <c r="K23" s="178">
        <f t="shared" si="1"/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22</v>
      </c>
      <c r="R23" s="178">
        <f t="shared" si="2"/>
        <v>67414.289999999994</v>
      </c>
      <c r="S23" s="178">
        <v>10997.04</v>
      </c>
      <c r="T23" s="178">
        <v>298.45999999999998</v>
      </c>
      <c r="U23" s="178">
        <v>29374.19</v>
      </c>
      <c r="V23" s="178">
        <v>21914.09</v>
      </c>
      <c r="W23" s="178">
        <v>4830.51</v>
      </c>
      <c r="X23" s="179"/>
      <c r="Y23" s="179"/>
      <c r="Z23" s="179"/>
      <c r="AA23" s="179"/>
      <c r="AB23" s="178"/>
      <c r="AC23" s="178"/>
      <c r="AD23" s="181"/>
      <c r="AE23" s="182">
        <f t="shared" si="3"/>
        <v>113</v>
      </c>
      <c r="AF23" s="182">
        <f t="shared" si="4"/>
        <v>438677.00999999995</v>
      </c>
    </row>
    <row r="24" spans="1:33" s="59" customFormat="1">
      <c r="A24" s="1" t="s">
        <v>12</v>
      </c>
      <c r="B24" s="195"/>
      <c r="C24" s="178">
        <v>5</v>
      </c>
      <c r="D24" s="178">
        <f t="shared" si="0"/>
        <v>1198.93</v>
      </c>
      <c r="E24" s="178">
        <v>166.01</v>
      </c>
      <c r="F24" s="178">
        <v>0</v>
      </c>
      <c r="G24" s="178">
        <v>0</v>
      </c>
      <c r="H24" s="178">
        <v>1032.92</v>
      </c>
      <c r="I24" s="178">
        <v>0</v>
      </c>
      <c r="J24" s="178">
        <v>0</v>
      </c>
      <c r="K24" s="178">
        <f t="shared" si="1"/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13</v>
      </c>
      <c r="R24" s="178">
        <f t="shared" si="2"/>
        <v>15101.56</v>
      </c>
      <c r="S24" s="178">
        <v>4741.57</v>
      </c>
      <c r="T24" s="178">
        <v>1007.9</v>
      </c>
      <c r="U24" s="178">
        <v>2155.6</v>
      </c>
      <c r="V24" s="178">
        <v>2372.7399999999998</v>
      </c>
      <c r="W24" s="178">
        <v>4823.75</v>
      </c>
      <c r="X24" s="179"/>
      <c r="Y24" s="179"/>
      <c r="Z24" s="179"/>
      <c r="AA24" s="179"/>
      <c r="AB24" s="178"/>
      <c r="AC24" s="178"/>
      <c r="AD24" s="181"/>
      <c r="AE24" s="182">
        <f t="shared" si="3"/>
        <v>18</v>
      </c>
      <c r="AF24" s="182">
        <f t="shared" si="4"/>
        <v>16300.49</v>
      </c>
    </row>
    <row r="25" spans="1:33" s="59" customFormat="1">
      <c r="A25" s="1" t="s">
        <v>7</v>
      </c>
      <c r="B25" s="195"/>
      <c r="C25" s="178">
        <v>234</v>
      </c>
      <c r="D25" s="178">
        <f t="shared" si="0"/>
        <v>725545.27</v>
      </c>
      <c r="E25" s="178">
        <v>10612.32</v>
      </c>
      <c r="F25" s="178">
        <v>28</v>
      </c>
      <c r="G25" s="178">
        <v>4448.71</v>
      </c>
      <c r="H25" s="178">
        <v>700528.34</v>
      </c>
      <c r="I25" s="178">
        <v>9927.9</v>
      </c>
      <c r="J25" s="178">
        <v>1</v>
      </c>
      <c r="K25" s="178">
        <f t="shared" si="1"/>
        <v>12929.789999999999</v>
      </c>
      <c r="L25" s="178">
        <v>-2</v>
      </c>
      <c r="M25" s="178">
        <v>0</v>
      </c>
      <c r="N25" s="178">
        <v>0</v>
      </c>
      <c r="O25" s="178">
        <v>12823.55</v>
      </c>
      <c r="P25" s="178">
        <v>108.24</v>
      </c>
      <c r="Q25" s="178">
        <v>40</v>
      </c>
      <c r="R25" s="178">
        <f t="shared" si="2"/>
        <v>167487.31</v>
      </c>
      <c r="S25" s="178">
        <v>14125.17</v>
      </c>
      <c r="T25" s="178">
        <v>1927.99</v>
      </c>
      <c r="U25" s="178">
        <v>12170.75</v>
      </c>
      <c r="V25" s="178">
        <v>82458.33</v>
      </c>
      <c r="W25" s="178">
        <v>56805.07</v>
      </c>
      <c r="X25" s="179"/>
      <c r="Y25" s="179"/>
      <c r="Z25" s="179"/>
      <c r="AA25" s="179"/>
      <c r="AB25" s="178"/>
      <c r="AC25" s="178"/>
      <c r="AD25" s="181"/>
      <c r="AE25" s="182">
        <f t="shared" si="3"/>
        <v>275</v>
      </c>
      <c r="AF25" s="182">
        <f t="shared" si="4"/>
        <v>905962.37000000011</v>
      </c>
    </row>
    <row r="26" spans="1:33" s="59" customFormat="1">
      <c r="A26" s="1" t="s">
        <v>24</v>
      </c>
      <c r="B26" s="195"/>
      <c r="C26" s="178">
        <v>1329</v>
      </c>
      <c r="D26" s="178">
        <f t="shared" si="0"/>
        <v>4416474.47</v>
      </c>
      <c r="E26" s="178">
        <v>224134.05</v>
      </c>
      <c r="F26" s="178">
        <v>1765.45</v>
      </c>
      <c r="G26" s="178">
        <v>71036.639999999999</v>
      </c>
      <c r="H26" s="178">
        <v>3891976.48</v>
      </c>
      <c r="I26" s="178">
        <v>227561.85</v>
      </c>
      <c r="J26" s="178">
        <v>798</v>
      </c>
      <c r="K26" s="178">
        <f t="shared" si="1"/>
        <v>5637036.8699999992</v>
      </c>
      <c r="L26" s="178">
        <v>204472.18</v>
      </c>
      <c r="M26" s="178">
        <v>0</v>
      </c>
      <c r="N26" s="178">
        <v>29814.55</v>
      </c>
      <c r="O26" s="178">
        <v>5110443.54</v>
      </c>
      <c r="P26" s="178">
        <v>292306.59999999998</v>
      </c>
      <c r="Q26" s="178">
        <v>138114</v>
      </c>
      <c r="R26" s="178">
        <f t="shared" si="2"/>
        <v>172674328.44</v>
      </c>
      <c r="S26" s="178">
        <v>35031777.850000001</v>
      </c>
      <c r="T26" s="178">
        <v>6757973.4500000002</v>
      </c>
      <c r="U26" s="178">
        <v>27030088.859999999</v>
      </c>
      <c r="V26" s="178">
        <v>57917185.93</v>
      </c>
      <c r="W26" s="178">
        <v>45937302.350000001</v>
      </c>
      <c r="X26" s="179"/>
      <c r="Y26" s="179"/>
      <c r="Z26" s="179"/>
      <c r="AA26" s="179"/>
      <c r="AB26" s="178"/>
      <c r="AC26" s="178"/>
      <c r="AD26" s="181"/>
      <c r="AE26" s="182">
        <f t="shared" si="3"/>
        <v>140241</v>
      </c>
      <c r="AF26" s="182">
        <f t="shared" si="4"/>
        <v>182727839.78</v>
      </c>
      <c r="AG26" s="259"/>
    </row>
    <row r="27" spans="1:33" s="59" customFormat="1">
      <c r="A27" s="1" t="s">
        <v>99</v>
      </c>
      <c r="B27" s="195" t="s">
        <v>154</v>
      </c>
      <c r="C27" s="178">
        <v>0</v>
      </c>
      <c r="D27" s="178">
        <f t="shared" si="0"/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f t="shared" si="1"/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f t="shared" si="2"/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9"/>
      <c r="Y27" s="179"/>
      <c r="Z27" s="179"/>
      <c r="AA27" s="179"/>
      <c r="AB27" s="178"/>
      <c r="AC27" s="178"/>
      <c r="AD27" s="183"/>
      <c r="AE27" s="182">
        <f t="shared" si="3"/>
        <v>0</v>
      </c>
      <c r="AF27" s="182">
        <f t="shared" si="4"/>
        <v>0</v>
      </c>
    </row>
    <row r="28" spans="1:33" s="59" customFormat="1">
      <c r="A28" s="1" t="s">
        <v>27</v>
      </c>
      <c r="B28" s="195"/>
      <c r="C28" s="178">
        <v>26</v>
      </c>
      <c r="D28" s="178">
        <f t="shared" si="0"/>
        <v>84199.7</v>
      </c>
      <c r="E28" s="178">
        <v>1170.33</v>
      </c>
      <c r="F28" s="178">
        <v>364.51</v>
      </c>
      <c r="G28" s="178">
        <v>134.94999999999999</v>
      </c>
      <c r="H28" s="178">
        <v>81853.2</v>
      </c>
      <c r="I28" s="178">
        <v>676.71</v>
      </c>
      <c r="J28" s="178">
        <v>0</v>
      </c>
      <c r="K28" s="178">
        <f t="shared" si="1"/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24</v>
      </c>
      <c r="R28" s="178">
        <f t="shared" si="2"/>
        <v>25980.170000000002</v>
      </c>
      <c r="S28" s="178">
        <v>7570.6</v>
      </c>
      <c r="T28" s="178">
        <v>994.15</v>
      </c>
      <c r="U28" s="178">
        <v>2056.75</v>
      </c>
      <c r="V28" s="178">
        <v>10745.76</v>
      </c>
      <c r="W28" s="178">
        <v>4612.91</v>
      </c>
      <c r="X28" s="179"/>
      <c r="Y28" s="179"/>
      <c r="Z28" s="179"/>
      <c r="AA28" s="179"/>
      <c r="AB28" s="178"/>
      <c r="AC28" s="178"/>
      <c r="AD28" s="183"/>
      <c r="AE28" s="182">
        <f t="shared" si="3"/>
        <v>50</v>
      </c>
      <c r="AF28" s="182">
        <f t="shared" si="4"/>
        <v>110179.87</v>
      </c>
    </row>
    <row r="29" spans="1:33" s="59" customFormat="1">
      <c r="A29" s="1" t="s">
        <v>2</v>
      </c>
      <c r="B29" s="195"/>
      <c r="C29" s="178">
        <v>458</v>
      </c>
      <c r="D29" s="178">
        <f t="shared" si="0"/>
        <v>1128321.28</v>
      </c>
      <c r="E29" s="178">
        <v>45732</v>
      </c>
      <c r="F29" s="178">
        <v>882.12</v>
      </c>
      <c r="G29" s="178">
        <v>24055.87</v>
      </c>
      <c r="H29" s="178">
        <v>1001195.74</v>
      </c>
      <c r="I29" s="178">
        <v>56455.55</v>
      </c>
      <c r="J29" s="178">
        <v>0</v>
      </c>
      <c r="K29" s="178">
        <f t="shared" si="1"/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425</v>
      </c>
      <c r="R29" s="178">
        <f t="shared" si="2"/>
        <v>1361092.8900000001</v>
      </c>
      <c r="S29" s="178">
        <v>184284.31</v>
      </c>
      <c r="T29" s="178">
        <v>20589.669999999998</v>
      </c>
      <c r="U29" s="178">
        <v>187911.22</v>
      </c>
      <c r="V29" s="178">
        <v>660373.09</v>
      </c>
      <c r="W29" s="178">
        <v>307934.59999999998</v>
      </c>
      <c r="X29" s="179"/>
      <c r="Y29" s="179"/>
      <c r="Z29" s="179"/>
      <c r="AA29" s="179"/>
      <c r="AB29" s="178"/>
      <c r="AC29" s="178"/>
      <c r="AD29" s="181"/>
      <c r="AE29" s="182">
        <f>C29+J29+Q29+X29+Z29+AB29</f>
        <v>883</v>
      </c>
      <c r="AF29" s="182">
        <f t="shared" si="4"/>
        <v>2489414.17</v>
      </c>
    </row>
    <row r="30" spans="1:33" s="59" customFormat="1">
      <c r="A30" s="1" t="s">
        <v>22</v>
      </c>
      <c r="B30" s="195"/>
      <c r="C30" s="178">
        <v>4974</v>
      </c>
      <c r="D30" s="178">
        <f t="shared" si="0"/>
        <v>11945269.259999998</v>
      </c>
      <c r="E30" s="178">
        <v>430913.33</v>
      </c>
      <c r="F30" s="178">
        <v>278.5</v>
      </c>
      <c r="G30" s="178">
        <v>23477.29</v>
      </c>
      <c r="H30" s="178">
        <v>11186172.359999999</v>
      </c>
      <c r="I30" s="178">
        <v>304427.78000000003</v>
      </c>
      <c r="J30" s="178">
        <v>39</v>
      </c>
      <c r="K30" s="178">
        <f t="shared" si="1"/>
        <v>155684.35</v>
      </c>
      <c r="L30" s="178">
        <v>19034.95</v>
      </c>
      <c r="M30" s="178">
        <v>0</v>
      </c>
      <c r="N30" s="178">
        <v>5.0599999999999996</v>
      </c>
      <c r="O30" s="178">
        <v>125187.89</v>
      </c>
      <c r="P30" s="178">
        <v>11456.45</v>
      </c>
      <c r="Q30" s="178">
        <v>8558</v>
      </c>
      <c r="R30" s="178">
        <f t="shared" si="2"/>
        <v>25990471.699999996</v>
      </c>
      <c r="S30" s="178">
        <v>3539377.89</v>
      </c>
      <c r="T30" s="178">
        <v>361015.44</v>
      </c>
      <c r="U30" s="178">
        <v>4700782.96</v>
      </c>
      <c r="V30" s="178">
        <v>11408883.51</v>
      </c>
      <c r="W30" s="178">
        <v>5980411.9000000004</v>
      </c>
      <c r="X30" s="179"/>
      <c r="Y30" s="179"/>
      <c r="Z30" s="179"/>
      <c r="AA30" s="179"/>
      <c r="AB30" s="178"/>
      <c r="AC30" s="178"/>
      <c r="AD30" s="181"/>
      <c r="AE30" s="182">
        <f t="shared" si="3"/>
        <v>13571</v>
      </c>
      <c r="AF30" s="182">
        <f t="shared" si="4"/>
        <v>38091425.309999995</v>
      </c>
    </row>
    <row r="31" spans="1:33" s="59" customFormat="1">
      <c r="A31" s="1" t="s">
        <v>97</v>
      </c>
      <c r="B31" s="195" t="s">
        <v>154</v>
      </c>
      <c r="C31" s="178">
        <v>0</v>
      </c>
      <c r="D31" s="178">
        <f t="shared" si="0"/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f t="shared" si="1"/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8">
        <f t="shared" si="2"/>
        <v>0</v>
      </c>
      <c r="S31" s="178">
        <v>0</v>
      </c>
      <c r="T31" s="178">
        <v>0</v>
      </c>
      <c r="U31" s="178">
        <v>0</v>
      </c>
      <c r="V31" s="178">
        <v>0</v>
      </c>
      <c r="W31" s="178">
        <v>0</v>
      </c>
      <c r="X31" s="179"/>
      <c r="Y31" s="179"/>
      <c r="Z31" s="179"/>
      <c r="AA31" s="179"/>
      <c r="AB31" s="178"/>
      <c r="AC31" s="178"/>
      <c r="AD31" s="181"/>
      <c r="AE31" s="182">
        <f t="shared" si="3"/>
        <v>0</v>
      </c>
      <c r="AF31" s="182">
        <f t="shared" si="4"/>
        <v>0</v>
      </c>
    </row>
    <row r="32" spans="1:33" s="59" customFormat="1">
      <c r="A32" s="1" t="s">
        <v>16</v>
      </c>
      <c r="B32" s="195"/>
      <c r="C32" s="178">
        <v>1147</v>
      </c>
      <c r="D32" s="178">
        <f t="shared" si="0"/>
        <v>4855425.53</v>
      </c>
      <c r="E32" s="178">
        <v>110157.27</v>
      </c>
      <c r="F32" s="178">
        <v>433.25</v>
      </c>
      <c r="G32" s="178">
        <v>36800.269999999997</v>
      </c>
      <c r="H32" s="178">
        <v>4595841.1900000004</v>
      </c>
      <c r="I32" s="178">
        <v>112193.55</v>
      </c>
      <c r="J32" s="178">
        <v>10</v>
      </c>
      <c r="K32" s="178">
        <f t="shared" si="1"/>
        <v>54913.369999999995</v>
      </c>
      <c r="L32" s="178">
        <v>746.9</v>
      </c>
      <c r="M32" s="178">
        <v>0</v>
      </c>
      <c r="N32" s="178">
        <v>0</v>
      </c>
      <c r="O32" s="178">
        <v>51150.81</v>
      </c>
      <c r="P32" s="178">
        <v>3015.66</v>
      </c>
      <c r="Q32" s="178">
        <v>842</v>
      </c>
      <c r="R32" s="178">
        <f t="shared" si="2"/>
        <v>2819601.23</v>
      </c>
      <c r="S32" s="178">
        <v>249087.75</v>
      </c>
      <c r="T32" s="178">
        <v>86920.04</v>
      </c>
      <c r="U32" s="178">
        <v>326019.86</v>
      </c>
      <c r="V32" s="178">
        <v>1568692.56</v>
      </c>
      <c r="W32" s="178">
        <v>588881.02</v>
      </c>
      <c r="X32" s="179"/>
      <c r="Y32" s="179"/>
      <c r="Z32" s="179"/>
      <c r="AA32" s="179"/>
      <c r="AB32" s="178">
        <v>11</v>
      </c>
      <c r="AC32" s="178">
        <v>1009.7</v>
      </c>
      <c r="AD32" s="181"/>
      <c r="AE32" s="182">
        <f t="shared" si="3"/>
        <v>2010</v>
      </c>
      <c r="AF32" s="182">
        <f t="shared" si="4"/>
        <v>7730949.830000001</v>
      </c>
    </row>
    <row r="33" spans="1:33" s="59" customFormat="1">
      <c r="A33" s="1" t="s">
        <v>25</v>
      </c>
      <c r="B33" s="195"/>
      <c r="C33" s="178">
        <v>3331</v>
      </c>
      <c r="D33" s="178">
        <f t="shared" si="0"/>
        <v>11216967.779999999</v>
      </c>
      <c r="E33" s="178">
        <v>369849.05</v>
      </c>
      <c r="F33" s="178">
        <v>1840.57</v>
      </c>
      <c r="G33" s="178">
        <v>236799.74</v>
      </c>
      <c r="H33" s="178">
        <v>10155249.93</v>
      </c>
      <c r="I33" s="178">
        <v>453228.49</v>
      </c>
      <c r="J33" s="178">
        <v>13</v>
      </c>
      <c r="K33" s="178">
        <f t="shared" si="1"/>
        <v>186903.58</v>
      </c>
      <c r="L33" s="178">
        <v>525.59</v>
      </c>
      <c r="M33" s="178">
        <v>0</v>
      </c>
      <c r="N33" s="178">
        <v>0</v>
      </c>
      <c r="O33" s="178">
        <v>81603.789999999994</v>
      </c>
      <c r="P33" s="178">
        <v>104774.2</v>
      </c>
      <c r="Q33" s="178">
        <v>1352</v>
      </c>
      <c r="R33" s="178">
        <f t="shared" si="2"/>
        <v>8818679.3399999999</v>
      </c>
      <c r="S33" s="178">
        <v>752341.31</v>
      </c>
      <c r="T33" s="178">
        <v>43533.31</v>
      </c>
      <c r="U33" s="178">
        <v>1174599.72</v>
      </c>
      <c r="V33" s="178">
        <v>4166418.52</v>
      </c>
      <c r="W33" s="178">
        <v>2681786.48</v>
      </c>
      <c r="X33" s="179"/>
      <c r="Y33" s="179"/>
      <c r="Z33" s="179"/>
      <c r="AA33" s="179"/>
      <c r="AB33" s="178">
        <v>40</v>
      </c>
      <c r="AC33" s="178">
        <v>3287.03</v>
      </c>
      <c r="AD33" s="181"/>
      <c r="AE33" s="182">
        <f t="shared" si="3"/>
        <v>4736</v>
      </c>
      <c r="AF33" s="182">
        <f t="shared" si="4"/>
        <v>20225837.73</v>
      </c>
    </row>
    <row r="34" spans="1:33" s="59" customFormat="1">
      <c r="A34" s="1" t="s">
        <v>14</v>
      </c>
      <c r="B34" s="195"/>
      <c r="C34" s="178">
        <v>500</v>
      </c>
      <c r="D34" s="178">
        <f t="shared" si="0"/>
        <v>1284424.2899999998</v>
      </c>
      <c r="E34" s="178">
        <v>48570.080000000002</v>
      </c>
      <c r="F34" s="178">
        <v>401</v>
      </c>
      <c r="G34" s="178">
        <v>1715.33</v>
      </c>
      <c r="H34" s="178">
        <v>1194036</v>
      </c>
      <c r="I34" s="178">
        <v>39701.879999999997</v>
      </c>
      <c r="J34" s="178">
        <v>4</v>
      </c>
      <c r="K34" s="178">
        <f t="shared" si="1"/>
        <v>21213.599999999999</v>
      </c>
      <c r="L34" s="178">
        <v>0</v>
      </c>
      <c r="M34" s="178">
        <v>0</v>
      </c>
      <c r="N34" s="178">
        <v>0</v>
      </c>
      <c r="O34" s="178">
        <v>20564</v>
      </c>
      <c r="P34" s="178">
        <v>649.6</v>
      </c>
      <c r="Q34" s="178">
        <v>111</v>
      </c>
      <c r="R34" s="178">
        <f t="shared" si="2"/>
        <v>128302.57</v>
      </c>
      <c r="S34" s="178">
        <v>17602.11</v>
      </c>
      <c r="T34" s="178">
        <v>2426.79</v>
      </c>
      <c r="U34" s="178">
        <v>13804.51</v>
      </c>
      <c r="V34" s="178">
        <v>52324.25</v>
      </c>
      <c r="W34" s="178">
        <v>42144.91</v>
      </c>
      <c r="X34" s="179"/>
      <c r="Y34" s="179"/>
      <c r="Z34" s="179"/>
      <c r="AA34" s="179"/>
      <c r="AB34" s="178">
        <v>0</v>
      </c>
      <c r="AC34" s="178">
        <v>0</v>
      </c>
      <c r="AD34" s="181"/>
      <c r="AE34" s="182">
        <f>C34+J34+Q34+X34+Z34+AB34</f>
        <v>615</v>
      </c>
      <c r="AF34" s="182">
        <f t="shared" si="4"/>
        <v>1433940.46</v>
      </c>
    </row>
    <row r="35" spans="1:33" s="59" customFormat="1">
      <c r="A35" s="1" t="s">
        <v>13</v>
      </c>
      <c r="B35" s="195"/>
      <c r="C35" s="178">
        <v>731</v>
      </c>
      <c r="D35" s="178">
        <f t="shared" si="0"/>
        <v>5341747.1100000013</v>
      </c>
      <c r="E35" s="178">
        <v>269331.65999999997</v>
      </c>
      <c r="F35" s="178">
        <v>2389.84</v>
      </c>
      <c r="G35" s="178">
        <v>113176.98</v>
      </c>
      <c r="H35" s="178">
        <v>4773906.9000000004</v>
      </c>
      <c r="I35" s="178">
        <v>182941.73</v>
      </c>
      <c r="J35" s="178">
        <v>39</v>
      </c>
      <c r="K35" s="178">
        <f t="shared" si="1"/>
        <v>1983990.58</v>
      </c>
      <c r="L35" s="178">
        <v>17487.66</v>
      </c>
      <c r="M35" s="178">
        <v>0</v>
      </c>
      <c r="N35" s="178">
        <v>9628.61</v>
      </c>
      <c r="O35" s="178">
        <v>1927331.27</v>
      </c>
      <c r="P35" s="178">
        <v>29543.040000000001</v>
      </c>
      <c r="Q35" s="178">
        <v>945</v>
      </c>
      <c r="R35" s="178">
        <f t="shared" si="2"/>
        <v>4533137.42</v>
      </c>
      <c r="S35" s="178">
        <v>683121.16</v>
      </c>
      <c r="T35" s="178">
        <v>77262.3</v>
      </c>
      <c r="U35" s="178">
        <v>1049925.1100000001</v>
      </c>
      <c r="V35" s="178">
        <v>1896978.59</v>
      </c>
      <c r="W35" s="178">
        <v>825850.26</v>
      </c>
      <c r="X35" s="179"/>
      <c r="Y35" s="179"/>
      <c r="Z35" s="179"/>
      <c r="AA35" s="179"/>
      <c r="AB35" s="178">
        <v>3</v>
      </c>
      <c r="AC35" s="178">
        <v>241.5</v>
      </c>
      <c r="AD35" s="181"/>
      <c r="AE35" s="182">
        <f t="shared" si="3"/>
        <v>1718</v>
      </c>
      <c r="AF35" s="182">
        <f t="shared" si="4"/>
        <v>11859116.610000001</v>
      </c>
    </row>
    <row r="36" spans="1:33" s="59" customFormat="1">
      <c r="A36" s="1" t="s">
        <v>20</v>
      </c>
      <c r="B36" s="195"/>
      <c r="C36" s="178">
        <v>17242</v>
      </c>
      <c r="D36" s="178">
        <f t="shared" si="0"/>
        <v>36758356.689999998</v>
      </c>
      <c r="E36" s="178">
        <v>1690814.69</v>
      </c>
      <c r="F36" s="178">
        <v>46392.98</v>
      </c>
      <c r="G36" s="178">
        <v>473448.97</v>
      </c>
      <c r="H36" s="178">
        <v>32998059.260000002</v>
      </c>
      <c r="I36" s="178">
        <v>1549640.79</v>
      </c>
      <c r="J36" s="178">
        <v>76</v>
      </c>
      <c r="K36" s="178">
        <f t="shared" si="1"/>
        <v>332865.36999999994</v>
      </c>
      <c r="L36" s="178">
        <v>17287.21</v>
      </c>
      <c r="M36" s="178">
        <v>263.45999999999998</v>
      </c>
      <c r="N36" s="178">
        <v>1322.68</v>
      </c>
      <c r="O36" s="178">
        <v>290725.73</v>
      </c>
      <c r="P36" s="178">
        <v>23266.29</v>
      </c>
      <c r="Q36" s="178">
        <v>46381</v>
      </c>
      <c r="R36" s="178">
        <f t="shared" si="2"/>
        <v>157428511.94</v>
      </c>
      <c r="S36" s="178">
        <v>20957355.75</v>
      </c>
      <c r="T36" s="178">
        <v>1651405.36</v>
      </c>
      <c r="U36" s="178">
        <v>27978599.34</v>
      </c>
      <c r="V36" s="178">
        <v>72096052.219999999</v>
      </c>
      <c r="W36" s="178">
        <v>34745099.270000003</v>
      </c>
      <c r="X36" s="179"/>
      <c r="Y36" s="179"/>
      <c r="Z36" s="179"/>
      <c r="AA36" s="179"/>
      <c r="AB36" s="178">
        <v>0</v>
      </c>
      <c r="AC36" s="178">
        <v>0</v>
      </c>
      <c r="AD36" s="181"/>
      <c r="AE36" s="182">
        <f t="shared" si="3"/>
        <v>63699</v>
      </c>
      <c r="AF36" s="182">
        <f t="shared" si="4"/>
        <v>194519734</v>
      </c>
      <c r="AG36" s="259"/>
    </row>
    <row r="37" spans="1:33" s="4" customFormat="1">
      <c r="A37" s="1" t="s">
        <v>15</v>
      </c>
      <c r="B37" s="195"/>
      <c r="C37" s="178">
        <v>269</v>
      </c>
      <c r="D37" s="178">
        <f t="shared" si="0"/>
        <v>684251.51</v>
      </c>
      <c r="E37" s="178">
        <v>19587.849999999999</v>
      </c>
      <c r="F37" s="178">
        <v>259.8</v>
      </c>
      <c r="G37" s="178">
        <v>958.84</v>
      </c>
      <c r="H37" s="178">
        <v>651386.71</v>
      </c>
      <c r="I37" s="178">
        <v>12058.31</v>
      </c>
      <c r="J37" s="178">
        <v>1</v>
      </c>
      <c r="K37" s="178">
        <f t="shared" si="1"/>
        <v>3734</v>
      </c>
      <c r="L37" s="178">
        <v>0</v>
      </c>
      <c r="M37" s="178">
        <v>0</v>
      </c>
      <c r="N37" s="178">
        <v>0</v>
      </c>
      <c r="O37" s="178">
        <v>3734</v>
      </c>
      <c r="P37" s="178">
        <v>0</v>
      </c>
      <c r="Q37" s="178">
        <v>45</v>
      </c>
      <c r="R37" s="178">
        <f t="shared" si="2"/>
        <v>93528.87999999999</v>
      </c>
      <c r="S37" s="178">
        <v>7305.15</v>
      </c>
      <c r="T37" s="178">
        <v>1338.47</v>
      </c>
      <c r="U37" s="178">
        <v>12145.83</v>
      </c>
      <c r="V37" s="178">
        <v>43090.67</v>
      </c>
      <c r="W37" s="178">
        <v>29648.76</v>
      </c>
      <c r="X37" s="179"/>
      <c r="Y37" s="179"/>
      <c r="Z37" s="179"/>
      <c r="AA37" s="179"/>
      <c r="AB37" s="178">
        <v>0</v>
      </c>
      <c r="AC37" s="178">
        <v>0</v>
      </c>
      <c r="AD37" s="181"/>
      <c r="AE37" s="182">
        <f t="shared" si="3"/>
        <v>315</v>
      </c>
      <c r="AF37" s="182">
        <f t="shared" si="4"/>
        <v>781514.39</v>
      </c>
    </row>
    <row r="38" spans="1:33">
      <c r="A38" s="1" t="s">
        <v>28</v>
      </c>
      <c r="B38" s="195"/>
      <c r="C38" s="178">
        <v>89</v>
      </c>
      <c r="D38" s="178">
        <f t="shared" si="0"/>
        <v>445791.25</v>
      </c>
      <c r="E38" s="178">
        <v>4657.32</v>
      </c>
      <c r="F38" s="178">
        <v>191.65</v>
      </c>
      <c r="G38" s="178">
        <v>873.33</v>
      </c>
      <c r="H38" s="178">
        <v>434220.57</v>
      </c>
      <c r="I38" s="178">
        <v>5848.38</v>
      </c>
      <c r="J38" s="178">
        <v>12</v>
      </c>
      <c r="K38" s="178">
        <f t="shared" si="1"/>
        <v>178464.15999999997</v>
      </c>
      <c r="L38" s="178">
        <v>2458.11</v>
      </c>
      <c r="M38" s="178">
        <v>0</v>
      </c>
      <c r="N38" s="178">
        <v>0</v>
      </c>
      <c r="O38" s="178">
        <v>163364.69</v>
      </c>
      <c r="P38" s="178">
        <v>12641.36</v>
      </c>
      <c r="Q38" s="178">
        <v>37</v>
      </c>
      <c r="R38" s="178">
        <f t="shared" si="2"/>
        <v>22745.39</v>
      </c>
      <c r="S38" s="178">
        <v>5117.24</v>
      </c>
      <c r="T38" s="178">
        <v>1584.6</v>
      </c>
      <c r="U38" s="178">
        <v>3060.61</v>
      </c>
      <c r="V38" s="178">
        <v>7916.7</v>
      </c>
      <c r="W38" s="178">
        <v>5066.24</v>
      </c>
      <c r="X38" s="179"/>
      <c r="Y38" s="179"/>
      <c r="Z38" s="179"/>
      <c r="AA38" s="179"/>
      <c r="AB38" s="178">
        <v>0</v>
      </c>
      <c r="AC38" s="178">
        <v>0</v>
      </c>
      <c r="AD38" s="181"/>
      <c r="AE38" s="182">
        <f t="shared" si="3"/>
        <v>138</v>
      </c>
      <c r="AF38" s="182">
        <f t="shared" si="4"/>
        <v>647000.79999999993</v>
      </c>
    </row>
    <row r="39" spans="1:33">
      <c r="A39" s="1" t="s">
        <v>3</v>
      </c>
      <c r="B39" s="195"/>
      <c r="C39" s="178">
        <v>919</v>
      </c>
      <c r="D39" s="178">
        <f t="shared" si="0"/>
        <v>2258545.52</v>
      </c>
      <c r="E39" s="178">
        <v>71124.929999999993</v>
      </c>
      <c r="F39" s="178">
        <v>596.32000000000005</v>
      </c>
      <c r="G39" s="178">
        <v>13830.94</v>
      </c>
      <c r="H39" s="178">
        <v>2112433.86</v>
      </c>
      <c r="I39" s="178">
        <v>60559.47</v>
      </c>
      <c r="J39" s="178">
        <v>3</v>
      </c>
      <c r="K39" s="178">
        <f t="shared" si="1"/>
        <v>30911.13</v>
      </c>
      <c r="L39" s="178">
        <v>0</v>
      </c>
      <c r="M39" s="178">
        <v>0</v>
      </c>
      <c r="N39" s="178">
        <v>0</v>
      </c>
      <c r="O39" s="178">
        <v>30911.13</v>
      </c>
      <c r="P39" s="178">
        <v>0</v>
      </c>
      <c r="Q39" s="178">
        <v>1423</v>
      </c>
      <c r="R39" s="178">
        <f t="shared" si="2"/>
        <v>4594415.9800000004</v>
      </c>
      <c r="S39" s="178">
        <v>617274.81999999995</v>
      </c>
      <c r="T39" s="178">
        <v>65125.440000000002</v>
      </c>
      <c r="U39" s="178">
        <v>695105.27</v>
      </c>
      <c r="V39" s="178">
        <v>2258373.7400000002</v>
      </c>
      <c r="W39" s="178">
        <v>958536.71</v>
      </c>
      <c r="X39" s="179"/>
      <c r="Y39" s="179"/>
      <c r="Z39" s="179"/>
      <c r="AA39" s="179"/>
      <c r="AB39" s="178">
        <v>2</v>
      </c>
      <c r="AC39" s="178">
        <v>161</v>
      </c>
      <c r="AD39" s="181"/>
      <c r="AE39" s="182">
        <f t="shared" si="3"/>
        <v>2347</v>
      </c>
      <c r="AF39" s="182">
        <f t="shared" si="4"/>
        <v>6884033.6300000008</v>
      </c>
    </row>
    <row r="40" spans="1:33">
      <c r="A40" s="1" t="s">
        <v>26</v>
      </c>
      <c r="B40" s="195"/>
      <c r="C40" s="178">
        <v>3585</v>
      </c>
      <c r="D40" s="178">
        <f t="shared" si="0"/>
        <v>8279274.8999999994</v>
      </c>
      <c r="E40" s="178">
        <v>268996.59000000003</v>
      </c>
      <c r="F40" s="178">
        <v>710.4</v>
      </c>
      <c r="G40" s="178">
        <v>86605.82</v>
      </c>
      <c r="H40" s="178">
        <v>7649023.7800000003</v>
      </c>
      <c r="I40" s="178">
        <v>273938.31</v>
      </c>
      <c r="J40" s="178">
        <v>5</v>
      </c>
      <c r="K40" s="178">
        <f t="shared" si="1"/>
        <v>74401.440000000002</v>
      </c>
      <c r="L40" s="178">
        <v>105.5</v>
      </c>
      <c r="M40" s="178">
        <v>0</v>
      </c>
      <c r="N40" s="178">
        <v>0</v>
      </c>
      <c r="O40" s="178">
        <v>74242.48</v>
      </c>
      <c r="P40" s="178">
        <v>53.46</v>
      </c>
      <c r="Q40" s="178">
        <v>19560</v>
      </c>
      <c r="R40" s="178">
        <f t="shared" si="2"/>
        <v>17617894.73</v>
      </c>
      <c r="S40" s="178">
        <v>3190239.3</v>
      </c>
      <c r="T40" s="178">
        <v>609489.26</v>
      </c>
      <c r="U40" s="178">
        <v>2046860.74</v>
      </c>
      <c r="V40" s="178">
        <v>7017867.71</v>
      </c>
      <c r="W40" s="178">
        <v>4753437.72</v>
      </c>
      <c r="X40" s="179"/>
      <c r="Y40" s="179"/>
      <c r="Z40" s="179"/>
      <c r="AA40" s="179"/>
      <c r="AB40" s="178">
        <v>78</v>
      </c>
      <c r="AC40" s="178">
        <v>7623</v>
      </c>
      <c r="AD40" s="181"/>
      <c r="AE40" s="182">
        <f t="shared" si="3"/>
        <v>23228</v>
      </c>
      <c r="AF40" s="182">
        <f t="shared" si="4"/>
        <v>25979194.07</v>
      </c>
      <c r="AG40" s="259"/>
    </row>
    <row r="41" spans="1:33">
      <c r="A41" s="1" t="s">
        <v>96</v>
      </c>
      <c r="B41" s="195" t="s">
        <v>154</v>
      </c>
      <c r="C41" s="178">
        <v>0</v>
      </c>
      <c r="D41" s="178">
        <f t="shared" si="0"/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f t="shared" si="1"/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f t="shared" si="2"/>
        <v>0</v>
      </c>
      <c r="S41" s="178">
        <v>0</v>
      </c>
      <c r="T41" s="178">
        <v>0</v>
      </c>
      <c r="U41" s="178">
        <v>0</v>
      </c>
      <c r="V41" s="178">
        <v>0</v>
      </c>
      <c r="W41" s="178">
        <v>0</v>
      </c>
      <c r="X41" s="179"/>
      <c r="Y41" s="179"/>
      <c r="Z41" s="179"/>
      <c r="AA41" s="179"/>
      <c r="AB41" s="178"/>
      <c r="AC41" s="178"/>
      <c r="AD41" s="181"/>
      <c r="AE41" s="182">
        <f t="shared" si="3"/>
        <v>0</v>
      </c>
      <c r="AF41" s="182">
        <f t="shared" si="4"/>
        <v>0</v>
      </c>
    </row>
    <row r="42" spans="1:33">
      <c r="A42" s="87" t="s">
        <v>118</v>
      </c>
      <c r="B42" s="154"/>
      <c r="C42" s="184">
        <f>SUM(C6:C41)</f>
        <v>69221</v>
      </c>
      <c r="D42" s="184">
        <f>SUM(D6:D41)</f>
        <v>166298633.09999999</v>
      </c>
      <c r="E42" s="184">
        <f>SUM(E6:E41)</f>
        <v>6949500.8099999987</v>
      </c>
      <c r="F42" s="184">
        <f t="shared" ref="F42:I42" si="5">SUM(F6:F41)</f>
        <v>120370.99999999999</v>
      </c>
      <c r="G42" s="184">
        <f t="shared" si="5"/>
        <v>2772022.24</v>
      </c>
      <c r="H42" s="184">
        <f t="shared" si="5"/>
        <v>149504692.27000001</v>
      </c>
      <c r="I42" s="184">
        <f t="shared" si="5"/>
        <v>6952046.7799999993</v>
      </c>
      <c r="J42" s="185">
        <f>SUM(J6:J41)</f>
        <v>3366</v>
      </c>
      <c r="K42" s="185">
        <f>SUM(K6:K41)</f>
        <v>22386773.050000004</v>
      </c>
      <c r="L42" s="185">
        <f>SUM(L6:L41)</f>
        <v>1270726.1299999999</v>
      </c>
      <c r="M42" s="185">
        <f t="shared" ref="M42:P42" si="6">SUM(M6:M41)</f>
        <v>471.79999999999995</v>
      </c>
      <c r="N42" s="185">
        <f t="shared" si="6"/>
        <v>1369897.0800000003</v>
      </c>
      <c r="O42" s="185">
        <f t="shared" si="6"/>
        <v>17678797.850000001</v>
      </c>
      <c r="P42" s="185">
        <f t="shared" si="6"/>
        <v>2066880.19</v>
      </c>
      <c r="Q42" s="186">
        <f>SUM(Q6:Q41)</f>
        <v>351742</v>
      </c>
      <c r="R42" s="186">
        <f>SUM(R6:R41)</f>
        <v>655851138.6400001</v>
      </c>
      <c r="S42" s="186">
        <f>SUM(S6:S41)</f>
        <v>108849972.92999999</v>
      </c>
      <c r="T42" s="186">
        <f t="shared" ref="T42:AC42" si="7">SUM(T6:T41)</f>
        <v>16324568.09</v>
      </c>
      <c r="U42" s="186">
        <f t="shared" si="7"/>
        <v>107529483.34</v>
      </c>
      <c r="V42" s="186">
        <f t="shared" si="7"/>
        <v>256350333.26999995</v>
      </c>
      <c r="W42" s="186">
        <f t="shared" si="7"/>
        <v>166796781.00999999</v>
      </c>
      <c r="X42" s="187">
        <f t="shared" si="7"/>
        <v>0</v>
      </c>
      <c r="Y42" s="187">
        <f t="shared" si="7"/>
        <v>0</v>
      </c>
      <c r="Z42" s="188">
        <f t="shared" si="7"/>
        <v>0</v>
      </c>
      <c r="AA42" s="188">
        <f t="shared" si="7"/>
        <v>0</v>
      </c>
      <c r="AB42" s="189">
        <f t="shared" si="7"/>
        <v>194</v>
      </c>
      <c r="AC42" s="189">
        <f t="shared" si="7"/>
        <v>17261.02</v>
      </c>
      <c r="AD42" s="190">
        <f>SUM(AD6:AD41)</f>
        <v>12813268.079999998</v>
      </c>
      <c r="AE42" s="191">
        <f>IF(SUM(AE6:AE41)=C42+J42+Q42+X42+Z42+AB42,SUM(AE6:AE41),"Faux")</f>
        <v>424523</v>
      </c>
      <c r="AF42" s="191">
        <f>IF(SUM(AF6:AF41)=D42+K42+R42+Y42+AA42+AC42,SUM(AF6:AF41),"Faux")</f>
        <v>844553805.81000006</v>
      </c>
    </row>
    <row r="43" spans="1:33">
      <c r="A43" s="118" t="s">
        <v>119</v>
      </c>
      <c r="B43" s="118"/>
      <c r="C43" s="192">
        <f>SUMIF($B$6:$B$41,"Oui",C6:C41)</f>
        <v>0</v>
      </c>
      <c r="D43" s="192">
        <f>SUM(E43:I43)</f>
        <v>0</v>
      </c>
      <c r="E43" s="192">
        <f t="shared" ref="E43:J43" si="8">SUMIF($B$6:$B$41,"Oui",E6:E41)</f>
        <v>0</v>
      </c>
      <c r="F43" s="192">
        <f t="shared" si="8"/>
        <v>0</v>
      </c>
      <c r="G43" s="192">
        <f t="shared" si="8"/>
        <v>0</v>
      </c>
      <c r="H43" s="192">
        <f t="shared" si="8"/>
        <v>0</v>
      </c>
      <c r="I43" s="192">
        <f t="shared" si="8"/>
        <v>0</v>
      </c>
      <c r="J43" s="192">
        <f t="shared" si="8"/>
        <v>0</v>
      </c>
      <c r="K43" s="192">
        <f>SUM(L43:P43)</f>
        <v>0</v>
      </c>
      <c r="L43" s="192">
        <f t="shared" ref="L43:Q43" si="9">SUMIF($B$6:$B$41,"Oui",L6:L41)</f>
        <v>0</v>
      </c>
      <c r="M43" s="192">
        <f t="shared" si="9"/>
        <v>0</v>
      </c>
      <c r="N43" s="192">
        <f t="shared" si="9"/>
        <v>0</v>
      </c>
      <c r="O43" s="192">
        <f t="shared" si="9"/>
        <v>0</v>
      </c>
      <c r="P43" s="192">
        <f t="shared" si="9"/>
        <v>0</v>
      </c>
      <c r="Q43" s="192">
        <f t="shared" si="9"/>
        <v>0</v>
      </c>
      <c r="R43" s="192">
        <f>SUM(S43:W43)</f>
        <v>0</v>
      </c>
      <c r="S43" s="192">
        <f t="shared" ref="S43:AD43" si="10">SUMIF($B$6:$B$41,"Oui",S6:S41)</f>
        <v>0</v>
      </c>
      <c r="T43" s="192">
        <f t="shared" si="10"/>
        <v>0</v>
      </c>
      <c r="U43" s="192">
        <f t="shared" si="10"/>
        <v>0</v>
      </c>
      <c r="V43" s="192">
        <f t="shared" si="10"/>
        <v>0</v>
      </c>
      <c r="W43" s="192">
        <f t="shared" si="10"/>
        <v>0</v>
      </c>
      <c r="X43" s="192">
        <f t="shared" si="10"/>
        <v>0</v>
      </c>
      <c r="Y43" s="192">
        <f t="shared" si="10"/>
        <v>0</v>
      </c>
      <c r="Z43" s="192">
        <f t="shared" si="10"/>
        <v>0</v>
      </c>
      <c r="AA43" s="192">
        <f t="shared" si="10"/>
        <v>0</v>
      </c>
      <c r="AB43" s="192">
        <f t="shared" si="10"/>
        <v>0</v>
      </c>
      <c r="AC43" s="192">
        <f t="shared" si="10"/>
        <v>0</v>
      </c>
      <c r="AD43" s="192">
        <f t="shared" si="10"/>
        <v>0</v>
      </c>
      <c r="AE43" s="192">
        <f>IF(SUMIF($B$6:$B$41,"Oui",AE6:AE41)=C43+J43+Q43+X43+Z43+AB43,SUMIF($B$6:$B$41,"Oui",AE6:AE41),"Faux")</f>
        <v>0</v>
      </c>
      <c r="AF43" s="192">
        <f>IF(SUMIF($B$6:$B$41,"Oui",AF6:AF41)=D43+K43+R43+Y43+AA43+AC43+AD43,SUMIF($B$6:$B$41,"Oui",AF6:AF41),"Faux")</f>
        <v>0</v>
      </c>
    </row>
    <row r="44" spans="1:33">
      <c r="D44" s="46"/>
      <c r="K44" s="46"/>
      <c r="R44" s="122"/>
    </row>
    <row r="46" spans="1:33">
      <c r="W46" s="46"/>
      <c r="X46" s="17"/>
      <c r="AF46" s="196"/>
    </row>
    <row r="47" spans="1:33">
      <c r="AE47" s="17"/>
      <c r="AF47" s="46"/>
    </row>
    <row r="48" spans="1:33">
      <c r="AF48" s="196"/>
      <c r="AG48" s="17"/>
    </row>
    <row r="53" spans="30:30">
      <c r="AD53" s="46"/>
    </row>
  </sheetData>
  <sortState ref="A6:A41">
    <sortCondition ref="A6"/>
  </sortState>
  <mergeCells count="22">
    <mergeCell ref="AD4:AD5"/>
    <mergeCell ref="Z3:AA3"/>
    <mergeCell ref="AB3:AC3"/>
    <mergeCell ref="AE3:AF3"/>
    <mergeCell ref="AB4:AB5"/>
    <mergeCell ref="AE4:AE5"/>
    <mergeCell ref="AC4:AC5"/>
    <mergeCell ref="AF4:AF5"/>
    <mergeCell ref="AA4:AA5"/>
    <mergeCell ref="X3:Y3"/>
    <mergeCell ref="Q3:W3"/>
    <mergeCell ref="X4:X5"/>
    <mergeCell ref="Y4:Y5"/>
    <mergeCell ref="Z4:Z5"/>
    <mergeCell ref="Q4:Q5"/>
    <mergeCell ref="S4:W4"/>
    <mergeCell ref="C3:I3"/>
    <mergeCell ref="C4:C5"/>
    <mergeCell ref="J3:P3"/>
    <mergeCell ref="J4:J5"/>
    <mergeCell ref="E4:I4"/>
    <mergeCell ref="L4:P4"/>
  </mergeCells>
  <hyperlinks>
    <hyperlink ref="A1" location="'ACCUEIL &quot;Créances&quot;'!A1" display="ACCUEIL"/>
  </hyperlinks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>
    <tabColor theme="3" tint="0.39997558519241921"/>
  </sheetPr>
  <dimension ref="A1:N176"/>
  <sheetViews>
    <sheetView zoomScale="80" zoomScaleNormal="80" workbookViewId="0"/>
  </sheetViews>
  <sheetFormatPr baseColWidth="10" defaultRowHeight="15"/>
  <cols>
    <col min="2" max="2" width="24.140625" bestFit="1" customWidth="1"/>
    <col min="3" max="3" width="11.42578125" bestFit="1" customWidth="1"/>
    <col min="4" max="4" width="10.7109375" customWidth="1"/>
    <col min="5" max="5" width="6.28515625" bestFit="1" customWidth="1"/>
    <col min="6" max="6" width="14.7109375" customWidth="1"/>
    <col min="7" max="11" width="12.85546875" customWidth="1"/>
    <col min="12" max="12" width="16.5703125" bestFit="1" customWidth="1"/>
    <col min="13" max="13" width="17.42578125" bestFit="1" customWidth="1"/>
    <col min="14" max="14" width="22.140625" bestFit="1" customWidth="1"/>
  </cols>
  <sheetData>
    <row r="1" spans="1:13" ht="15.75" thickBot="1">
      <c r="A1" s="14" t="s">
        <v>58</v>
      </c>
    </row>
    <row r="3" spans="1:13">
      <c r="C3" s="317" t="s">
        <v>82</v>
      </c>
      <c r="D3" s="317"/>
      <c r="E3" s="81" t="s">
        <v>65</v>
      </c>
      <c r="G3" s="31" t="s">
        <v>125</v>
      </c>
    </row>
    <row r="4" spans="1:13">
      <c r="B4" s="1" t="s">
        <v>8</v>
      </c>
      <c r="C4" s="38">
        <f>'Données règlements européens'!AE6</f>
        <v>60399</v>
      </c>
      <c r="D4" s="50">
        <f>C4/$C$40</f>
        <v>0.14227497685637763</v>
      </c>
      <c r="E4" s="49">
        <f>RANK(C4,$C$4:$C$39)</f>
        <v>4</v>
      </c>
      <c r="M4" s="40"/>
    </row>
    <row r="5" spans="1:13">
      <c r="B5" s="1" t="s">
        <v>95</v>
      </c>
      <c r="C5" s="38">
        <f>'Données règlements européens'!AE7</f>
        <v>0</v>
      </c>
      <c r="D5" s="50">
        <f t="shared" ref="D5:D39" si="0">C5/$C$40</f>
        <v>0</v>
      </c>
      <c r="E5" s="49">
        <f t="shared" ref="E5:E39" si="1">RANK(C5,$C$4:$C$39)</f>
        <v>32</v>
      </c>
      <c r="M5" s="40"/>
    </row>
    <row r="6" spans="1:13">
      <c r="B6" s="1" t="s">
        <v>9</v>
      </c>
      <c r="C6" s="38">
        <f>'Données règlements européens'!AE8</f>
        <v>730</v>
      </c>
      <c r="D6" s="50">
        <f t="shared" si="0"/>
        <v>1.7195770311620336E-3</v>
      </c>
      <c r="E6" s="49">
        <f t="shared" si="1"/>
        <v>17</v>
      </c>
      <c r="H6" t="str">
        <f>"n = "&amp;TEXT(C40,"000 000")</f>
        <v>n = 424 523</v>
      </c>
      <c r="M6" s="40"/>
    </row>
    <row r="7" spans="1:13">
      <c r="B7" s="1" t="s">
        <v>19</v>
      </c>
      <c r="C7" s="38">
        <f>'Données règlements européens'!AE9</f>
        <v>78308</v>
      </c>
      <c r="D7" s="50">
        <f>C7/$C$40</f>
        <v>0.18446114815922812</v>
      </c>
      <c r="E7" s="49">
        <f t="shared" si="1"/>
        <v>2</v>
      </c>
      <c r="M7" s="40"/>
    </row>
    <row r="8" spans="1:13">
      <c r="B8" s="1" t="s">
        <v>98</v>
      </c>
      <c r="C8" s="38">
        <f>'Données règlements européens'!AE10</f>
        <v>0</v>
      </c>
      <c r="D8" s="50">
        <f t="shared" si="0"/>
        <v>0</v>
      </c>
      <c r="E8" s="49">
        <f t="shared" si="1"/>
        <v>32</v>
      </c>
      <c r="J8" s="22"/>
      <c r="M8" s="40"/>
    </row>
    <row r="9" spans="1:13">
      <c r="B9" s="1" t="s">
        <v>10</v>
      </c>
      <c r="C9" s="38">
        <f>'Données règlements européens'!AE11</f>
        <v>787</v>
      </c>
      <c r="D9" s="50">
        <f t="shared" si="0"/>
        <v>1.8538453746911238E-3</v>
      </c>
      <c r="E9" s="49">
        <f t="shared" si="1"/>
        <v>16</v>
      </c>
      <c r="J9" s="22"/>
      <c r="M9" s="40"/>
    </row>
    <row r="10" spans="1:13">
      <c r="B10" s="1" t="s">
        <v>29</v>
      </c>
      <c r="C10" s="38">
        <f>'Données règlements européens'!AE12</f>
        <v>56</v>
      </c>
      <c r="D10" s="50">
        <f t="shared" si="0"/>
        <v>1.3191275855489574E-4</v>
      </c>
      <c r="E10" s="49">
        <f t="shared" si="1"/>
        <v>28</v>
      </c>
      <c r="M10" s="40"/>
    </row>
    <row r="11" spans="1:13">
      <c r="B11" s="1" t="s">
        <v>42</v>
      </c>
      <c r="C11" s="38">
        <f>'Données règlements européens'!AE13</f>
        <v>150</v>
      </c>
      <c r="D11" s="50">
        <f t="shared" si="0"/>
        <v>3.5333774612918498E-4</v>
      </c>
      <c r="E11" s="49">
        <f t="shared" si="1"/>
        <v>25</v>
      </c>
      <c r="M11" s="40"/>
    </row>
    <row r="12" spans="1:13">
      <c r="B12" s="1" t="s">
        <v>0</v>
      </c>
      <c r="C12" s="38">
        <f>'Données règlements européens'!AE14</f>
        <v>2035</v>
      </c>
      <c r="D12" s="50">
        <f t="shared" si="0"/>
        <v>4.7936154224859431E-3</v>
      </c>
      <c r="E12" s="49">
        <f t="shared" si="1"/>
        <v>11</v>
      </c>
      <c r="M12" s="40"/>
    </row>
    <row r="13" spans="1:13">
      <c r="B13" s="1" t="s">
        <v>21</v>
      </c>
      <c r="C13" s="38">
        <f>'Données règlements européens'!AE15</f>
        <v>10291</v>
      </c>
      <c r="D13" s="50">
        <f t="shared" si="0"/>
        <v>2.4241324969436286E-2</v>
      </c>
      <c r="E13" s="49">
        <f t="shared" si="1"/>
        <v>8</v>
      </c>
      <c r="M13" s="40"/>
    </row>
    <row r="14" spans="1:13">
      <c r="B14" s="1" t="s">
        <v>5</v>
      </c>
      <c r="C14" s="38">
        <f>'Données règlements européens'!AE16</f>
        <v>170</v>
      </c>
      <c r="D14" s="50">
        <f t="shared" si="0"/>
        <v>4.0044944561307632E-4</v>
      </c>
      <c r="E14" s="49">
        <f t="shared" si="1"/>
        <v>24</v>
      </c>
      <c r="M14" s="40"/>
    </row>
    <row r="15" spans="1:13">
      <c r="B15" s="1" t="s">
        <v>4</v>
      </c>
      <c r="C15" s="38">
        <f>'Données règlements européens'!AE17</f>
        <v>489</v>
      </c>
      <c r="D15" s="50">
        <f t="shared" si="0"/>
        <v>1.151881052381143E-3</v>
      </c>
      <c r="E15" s="49">
        <f t="shared" si="1"/>
        <v>20</v>
      </c>
      <c r="M15" s="40"/>
    </row>
    <row r="16" spans="1:13">
      <c r="B16" s="1" t="s">
        <v>17</v>
      </c>
      <c r="C16" s="38">
        <f>'Données règlements européens'!AE18</f>
        <v>581</v>
      </c>
      <c r="D16" s="50">
        <f t="shared" si="0"/>
        <v>1.3685948700070433E-3</v>
      </c>
      <c r="E16" s="49">
        <f t="shared" si="1"/>
        <v>19</v>
      </c>
      <c r="M16" s="40"/>
    </row>
    <row r="17" spans="2:13">
      <c r="B17" s="1" t="s">
        <v>11</v>
      </c>
      <c r="C17" s="38">
        <f>'Données règlements européens'!AE19</f>
        <v>329</v>
      </c>
      <c r="D17" s="50">
        <f t="shared" si="0"/>
        <v>7.7498745651001239E-4</v>
      </c>
      <c r="E17" s="49">
        <f t="shared" si="1"/>
        <v>21</v>
      </c>
      <c r="M17" s="40"/>
    </row>
    <row r="18" spans="2:13">
      <c r="B18" s="1" t="s">
        <v>23</v>
      </c>
      <c r="C18" s="38">
        <f>'Données règlements européens'!AE20</f>
        <v>1429</v>
      </c>
      <c r="D18" s="50">
        <f t="shared" si="0"/>
        <v>3.3661309281240357E-3</v>
      </c>
      <c r="E18" s="49">
        <f t="shared" si="1"/>
        <v>14</v>
      </c>
      <c r="G18" s="29"/>
      <c r="M18" s="40"/>
    </row>
    <row r="19" spans="2:13">
      <c r="B19" s="1" t="s">
        <v>1</v>
      </c>
      <c r="C19" s="38">
        <f>'Données règlements européens'!AE21</f>
        <v>46</v>
      </c>
      <c r="D19" s="50">
        <f t="shared" si="0"/>
        <v>1.0835690881295007E-4</v>
      </c>
      <c r="E19" s="49">
        <f t="shared" si="1"/>
        <v>30</v>
      </c>
      <c r="M19" s="40"/>
    </row>
    <row r="20" spans="2:13">
      <c r="B20" s="1" t="s">
        <v>18</v>
      </c>
      <c r="C20" s="38">
        <f>'Données règlements européens'!AE22</f>
        <v>14766</v>
      </c>
      <c r="D20" s="50">
        <f t="shared" si="0"/>
        <v>3.4782567728956972E-2</v>
      </c>
      <c r="E20" s="49">
        <f t="shared" si="1"/>
        <v>6</v>
      </c>
      <c r="G20" s="29" t="s">
        <v>133</v>
      </c>
      <c r="M20" s="40"/>
    </row>
    <row r="21" spans="2:13">
      <c r="B21" s="1" t="s">
        <v>6</v>
      </c>
      <c r="C21" s="38">
        <f>'Données règlements européens'!AE23</f>
        <v>113</v>
      </c>
      <c r="D21" s="50">
        <f t="shared" si="0"/>
        <v>2.66181102083986E-4</v>
      </c>
      <c r="E21" s="49">
        <f t="shared" si="1"/>
        <v>27</v>
      </c>
      <c r="G21" s="17"/>
      <c r="H21" s="17"/>
      <c r="I21" s="17"/>
      <c r="J21" s="17"/>
      <c r="K21" s="17"/>
      <c r="L21" s="36"/>
      <c r="M21" s="40"/>
    </row>
    <row r="22" spans="2:13">
      <c r="B22" s="1" t="s">
        <v>12</v>
      </c>
      <c r="C22" s="38">
        <f>'Données règlements européens'!AE24</f>
        <v>18</v>
      </c>
      <c r="D22" s="50">
        <f t="shared" si="0"/>
        <v>4.2400529535502199E-5</v>
      </c>
      <c r="E22" s="49">
        <f t="shared" si="1"/>
        <v>31</v>
      </c>
      <c r="G22" s="17"/>
      <c r="H22" s="17"/>
      <c r="I22" s="17"/>
      <c r="J22" s="17"/>
      <c r="K22" s="17"/>
      <c r="M22" s="40"/>
    </row>
    <row r="23" spans="2:13">
      <c r="B23" s="1" t="s">
        <v>7</v>
      </c>
      <c r="C23" s="38">
        <f>'Données règlements européens'!AE25</f>
        <v>275</v>
      </c>
      <c r="D23" s="50">
        <f t="shared" si="0"/>
        <v>6.477858679035058E-4</v>
      </c>
      <c r="E23" s="49">
        <f t="shared" si="1"/>
        <v>23</v>
      </c>
      <c r="G23" s="37"/>
      <c r="H23" s="37"/>
      <c r="I23" s="37"/>
      <c r="J23" s="37"/>
      <c r="K23" s="37"/>
      <c r="L23" s="37"/>
      <c r="M23" s="40"/>
    </row>
    <row r="24" spans="2:13">
      <c r="B24" s="1" t="s">
        <v>24</v>
      </c>
      <c r="C24" s="38">
        <f>'Données règlements européens'!AE26</f>
        <v>140241</v>
      </c>
      <c r="D24" s="50">
        <f t="shared" si="0"/>
        <v>0.33034959236602024</v>
      </c>
      <c r="E24" s="49">
        <f t="shared" si="1"/>
        <v>1</v>
      </c>
      <c r="M24" s="40"/>
    </row>
    <row r="25" spans="2:13">
      <c r="B25" s="1" t="s">
        <v>99</v>
      </c>
      <c r="C25" s="38">
        <f>'Données règlements européens'!AE27</f>
        <v>0</v>
      </c>
      <c r="D25" s="50">
        <f t="shared" si="0"/>
        <v>0</v>
      </c>
      <c r="E25" s="49">
        <f t="shared" si="1"/>
        <v>32</v>
      </c>
      <c r="M25" s="40"/>
    </row>
    <row r="26" spans="2:13">
      <c r="B26" s="1" t="s">
        <v>27</v>
      </c>
      <c r="C26" s="38">
        <f>'Données règlements européens'!AE28</f>
        <v>50</v>
      </c>
      <c r="D26" s="50">
        <f t="shared" si="0"/>
        <v>1.1777924870972833E-4</v>
      </c>
      <c r="E26" s="49">
        <f t="shared" si="1"/>
        <v>29</v>
      </c>
      <c r="M26" s="40"/>
    </row>
    <row r="27" spans="2:13">
      <c r="B27" s="1" t="s">
        <v>2</v>
      </c>
      <c r="C27" s="38">
        <f>'Données règlements européens'!AE29</f>
        <v>883</v>
      </c>
      <c r="D27" s="50">
        <f t="shared" si="0"/>
        <v>2.0799815322138024E-3</v>
      </c>
      <c r="E27" s="49">
        <f t="shared" si="1"/>
        <v>15</v>
      </c>
      <c r="M27" s="40"/>
    </row>
    <row r="28" spans="2:13">
      <c r="B28" s="1" t="s">
        <v>22</v>
      </c>
      <c r="C28" s="38">
        <f>'Données règlements européens'!AE30</f>
        <v>13571</v>
      </c>
      <c r="D28" s="50">
        <f t="shared" si="0"/>
        <v>3.1967643684794461E-2</v>
      </c>
      <c r="E28" s="49">
        <f t="shared" si="1"/>
        <v>7</v>
      </c>
      <c r="M28" s="40"/>
    </row>
    <row r="29" spans="2:13">
      <c r="B29" s="1" t="s">
        <v>97</v>
      </c>
      <c r="C29" s="38">
        <f>'Données règlements européens'!AE31</f>
        <v>0</v>
      </c>
      <c r="D29" s="50">
        <f t="shared" si="0"/>
        <v>0</v>
      </c>
      <c r="E29" s="49">
        <f t="shared" si="1"/>
        <v>32</v>
      </c>
      <c r="M29" s="40"/>
    </row>
    <row r="30" spans="2:13">
      <c r="B30" s="1" t="s">
        <v>16</v>
      </c>
      <c r="C30" s="38">
        <f>'Données règlements européens'!AE32</f>
        <v>2010</v>
      </c>
      <c r="D30" s="50">
        <f t="shared" si="0"/>
        <v>4.734725798131079E-3</v>
      </c>
      <c r="E30" s="49">
        <f t="shared" si="1"/>
        <v>12</v>
      </c>
      <c r="M30" s="40"/>
    </row>
    <row r="31" spans="2:13">
      <c r="B31" s="1" t="s">
        <v>25</v>
      </c>
      <c r="C31" s="38">
        <f>'Données règlements européens'!AE33</f>
        <v>4736</v>
      </c>
      <c r="D31" s="50">
        <f t="shared" si="0"/>
        <v>1.1156050437785468E-2</v>
      </c>
      <c r="E31" s="49">
        <f t="shared" si="1"/>
        <v>9</v>
      </c>
      <c r="M31" s="40"/>
    </row>
    <row r="32" spans="2:13">
      <c r="B32" s="1" t="s">
        <v>14</v>
      </c>
      <c r="C32" s="38">
        <f>'Données règlements européens'!AE34</f>
        <v>615</v>
      </c>
      <c r="D32" s="50">
        <f t="shared" si="0"/>
        <v>1.4486847591296584E-3</v>
      </c>
      <c r="E32" s="49">
        <f t="shared" si="1"/>
        <v>18</v>
      </c>
      <c r="M32" s="40"/>
    </row>
    <row r="33" spans="2:13">
      <c r="B33" s="1" t="s">
        <v>13</v>
      </c>
      <c r="C33" s="38">
        <f>'Données règlements européens'!AE35</f>
        <v>1718</v>
      </c>
      <c r="D33" s="50">
        <f t="shared" si="0"/>
        <v>4.0468949856662653E-3</v>
      </c>
      <c r="E33" s="49">
        <f t="shared" si="1"/>
        <v>13</v>
      </c>
      <c r="M33" s="40"/>
    </row>
    <row r="34" spans="2:13">
      <c r="B34" s="1" t="s">
        <v>20</v>
      </c>
      <c r="C34" s="38">
        <f>'Données règlements européens'!AE36</f>
        <v>63699</v>
      </c>
      <c r="D34" s="50">
        <f t="shared" si="0"/>
        <v>0.15004840727121971</v>
      </c>
      <c r="E34" s="49">
        <f t="shared" si="1"/>
        <v>3</v>
      </c>
      <c r="M34" s="40"/>
    </row>
    <row r="35" spans="2:13">
      <c r="B35" s="1" t="s">
        <v>15</v>
      </c>
      <c r="C35" s="38">
        <f>'Données règlements européens'!AE37</f>
        <v>315</v>
      </c>
      <c r="D35" s="50">
        <f t="shared" si="0"/>
        <v>7.4200926687128849E-4</v>
      </c>
      <c r="E35" s="49">
        <f t="shared" si="1"/>
        <v>22</v>
      </c>
      <c r="M35" s="40"/>
    </row>
    <row r="36" spans="2:13">
      <c r="B36" s="1" t="s">
        <v>28</v>
      </c>
      <c r="C36" s="38">
        <f>'Données règlements européens'!AE38</f>
        <v>138</v>
      </c>
      <c r="D36" s="50">
        <f t="shared" si="0"/>
        <v>3.2507072643885021E-4</v>
      </c>
      <c r="E36" s="49">
        <f t="shared" si="1"/>
        <v>26</v>
      </c>
      <c r="M36" s="40"/>
    </row>
    <row r="37" spans="2:13">
      <c r="B37" s="1" t="s">
        <v>3</v>
      </c>
      <c r="C37" s="38">
        <f>'Données règlements européens'!AE39</f>
        <v>2347</v>
      </c>
      <c r="D37" s="50">
        <f t="shared" si="0"/>
        <v>5.5285579344346476E-3</v>
      </c>
      <c r="E37" s="49">
        <f t="shared" si="1"/>
        <v>10</v>
      </c>
      <c r="M37" s="40"/>
    </row>
    <row r="38" spans="2:13">
      <c r="B38" s="1" t="s">
        <v>26</v>
      </c>
      <c r="C38" s="38">
        <f>'Données règlements européens'!AE40</f>
        <v>23228</v>
      </c>
      <c r="D38" s="50">
        <f t="shared" si="0"/>
        <v>5.471552778059139E-2</v>
      </c>
      <c r="E38" s="49">
        <f t="shared" si="1"/>
        <v>5</v>
      </c>
      <c r="M38" s="40"/>
    </row>
    <row r="39" spans="2:13">
      <c r="B39" s="1" t="s">
        <v>96</v>
      </c>
      <c r="C39" s="38">
        <f>'Données règlements européens'!AE41</f>
        <v>0</v>
      </c>
      <c r="D39" s="50">
        <f t="shared" si="0"/>
        <v>0</v>
      </c>
      <c r="E39" s="49">
        <f t="shared" si="1"/>
        <v>32</v>
      </c>
      <c r="M39" s="40"/>
    </row>
    <row r="40" spans="2:13">
      <c r="B40" s="35" t="s">
        <v>36</v>
      </c>
      <c r="C40" s="198">
        <f>SUM(C4:C39)</f>
        <v>424523</v>
      </c>
      <c r="D40" s="197">
        <f>SUM(D4:D39)</f>
        <v>0.99999999999999989</v>
      </c>
      <c r="E40" s="49"/>
    </row>
    <row r="42" spans="2:13">
      <c r="B42" s="1" t="str">
        <f>INDEX(Europe_B,MATCH(1,Rang_Europe_B,0),1)</f>
        <v>Luxembourg</v>
      </c>
      <c r="C42" s="38">
        <f>INDEX(Europe_B,MATCH(1,Rang_Europe_B,0),2)</f>
        <v>140241</v>
      </c>
      <c r="F42" s="226"/>
    </row>
    <row r="43" spans="2:13">
      <c r="B43" s="1" t="str">
        <f>INDEX(Europe_B,MATCH(2,Rang_Europe_B,0),1)</f>
        <v>Belgique</v>
      </c>
      <c r="C43" s="38">
        <f>INDEX(Europe_B,MATCH(2,Rang_Europe_B,0),2)</f>
        <v>78308</v>
      </c>
    </row>
    <row r="44" spans="2:13">
      <c r="B44" s="1" t="str">
        <f>INDEX(Europe_B,MATCH(3,Rang_Europe_B,0),1)</f>
        <v>Royaume-Uni</v>
      </c>
      <c r="C44" s="38">
        <f>INDEX(Europe_B,MATCH(3,Rang_Europe_B,0),2)</f>
        <v>63699</v>
      </c>
    </row>
    <row r="45" spans="2:13">
      <c r="B45" s="1" t="str">
        <f>INDEX(Europe_B,MATCH(4,Rang_Europe_B,0),1)</f>
        <v>Allemagne</v>
      </c>
      <c r="C45" s="38">
        <f>INDEX(Europe_B,MATCH(4,Rang_Europe_B,0),2)</f>
        <v>60399</v>
      </c>
    </row>
    <row r="46" spans="2:13">
      <c r="B46" s="1" t="str">
        <f>INDEX(Europe_B,MATCH(5,Rang_Europe_B,0),1)</f>
        <v>Suisse</v>
      </c>
      <c r="C46" s="38">
        <f>INDEX(Europe_B,MATCH(5,Rang_Europe_B,0),2)</f>
        <v>23228</v>
      </c>
    </row>
    <row r="47" spans="2:13">
      <c r="B47" s="1" t="s">
        <v>84</v>
      </c>
      <c r="C47" s="38">
        <f>C40-C42-C43-C44-C45-C46</f>
        <v>58648</v>
      </c>
      <c r="M47" s="37"/>
    </row>
    <row r="48" spans="2:13">
      <c r="B48" s="117"/>
      <c r="C48" s="131"/>
    </row>
    <row r="49" spans="1: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19"/>
      <c r="B50" s="19"/>
      <c r="C50" s="318" t="s">
        <v>85</v>
      </c>
      <c r="D50" s="318"/>
      <c r="E50" s="318" t="s">
        <v>80</v>
      </c>
      <c r="F50" s="318"/>
      <c r="G50" s="318" t="s">
        <v>81</v>
      </c>
      <c r="H50" s="318"/>
      <c r="I50" s="318" t="s">
        <v>82</v>
      </c>
      <c r="J50" s="318"/>
      <c r="K50" s="19"/>
      <c r="L50" s="3" t="str">
        <f>C50</f>
        <v>Soins nécessaires</v>
      </c>
      <c r="M50" s="3" t="str">
        <f>E50</f>
        <v>Soins programmés</v>
      </c>
      <c r="N50" s="3" t="str">
        <f>G50</f>
        <v>Soins liés à la résidence</v>
      </c>
    </row>
    <row r="51" spans="1:14">
      <c r="A51" s="19"/>
      <c r="B51" s="1" t="s">
        <v>8</v>
      </c>
      <c r="C51" s="38">
        <f>'Données règlements européens'!C6</f>
        <v>7281</v>
      </c>
      <c r="D51" s="50">
        <f>C51/I51</f>
        <v>0.12054835344956043</v>
      </c>
      <c r="E51" s="38">
        <f>'Données règlements européens'!J6</f>
        <v>48</v>
      </c>
      <c r="F51" s="50">
        <f>E51/I51</f>
        <v>7.9471514429046834E-4</v>
      </c>
      <c r="G51" s="38">
        <f>'Données règlements européens'!Q6+'Données règlements européens'!X6+'Données règlements européens'!Z6+'Données règlements européens'!AB6</f>
        <v>53070</v>
      </c>
      <c r="H51" s="50">
        <f>G51/I51</f>
        <v>0.87865693140614909</v>
      </c>
      <c r="I51" s="38">
        <f>C51+E51+G51</f>
        <v>60399</v>
      </c>
      <c r="J51" s="50">
        <f>D51+F51+H51</f>
        <v>1</v>
      </c>
      <c r="K51" s="19"/>
      <c r="L51" s="51">
        <f>C51/$C$87</f>
        <v>0.10518484275003251</v>
      </c>
      <c r="M51" s="51">
        <f>E51/$E$87</f>
        <v>1.4260249554367201E-2</v>
      </c>
      <c r="N51" s="51">
        <f>G51/$G$87</f>
        <v>0.15079446262956903</v>
      </c>
    </row>
    <row r="52" spans="1:14">
      <c r="A52" s="19"/>
      <c r="B52" s="1" t="s">
        <v>95</v>
      </c>
      <c r="C52" s="38">
        <f>'Données règlements européens'!C7</f>
        <v>0</v>
      </c>
      <c r="D52" s="50" t="e">
        <f t="shared" ref="D52:D87" si="2">C52/I52</f>
        <v>#DIV/0!</v>
      </c>
      <c r="E52" s="38">
        <f>'Données règlements européens'!J7</f>
        <v>0</v>
      </c>
      <c r="F52" s="50" t="e">
        <f t="shared" ref="F52:F87" si="3">E52/I52</f>
        <v>#DIV/0!</v>
      </c>
      <c r="G52" s="38">
        <f>'Données règlements européens'!Q7+'Données règlements européens'!X7+'Données règlements européens'!Z7+'Données règlements européens'!AB7</f>
        <v>0</v>
      </c>
      <c r="H52" s="50" t="e">
        <f t="shared" ref="H52:H86" si="4">G52/I52</f>
        <v>#DIV/0!</v>
      </c>
      <c r="I52" s="38">
        <f t="shared" ref="I52:I86" si="5">C52+E52+G52</f>
        <v>0</v>
      </c>
      <c r="J52" s="50" t="e">
        <f t="shared" ref="J52:J87" si="6">D52+F52+H52</f>
        <v>#DIV/0!</v>
      </c>
      <c r="K52" s="19"/>
      <c r="L52" s="51">
        <f t="shared" ref="L52:L86" si="7">C52/$C$87</f>
        <v>0</v>
      </c>
      <c r="M52" s="51">
        <f t="shared" ref="M52:M86" si="8">E52/$E$87</f>
        <v>0</v>
      </c>
      <c r="N52" s="51">
        <f t="shared" ref="N52:N86" si="9">G52/$G$87</f>
        <v>0</v>
      </c>
    </row>
    <row r="53" spans="1:14">
      <c r="A53" s="19"/>
      <c r="B53" s="1" t="s">
        <v>9</v>
      </c>
      <c r="C53" s="38">
        <f>'Données règlements européens'!C8</f>
        <v>541</v>
      </c>
      <c r="D53" s="50">
        <f t="shared" si="2"/>
        <v>0.74109589041095891</v>
      </c>
      <c r="E53" s="38">
        <f>'Données règlements européens'!J8</f>
        <v>3</v>
      </c>
      <c r="F53" s="50">
        <f t="shared" si="3"/>
        <v>4.10958904109589E-3</v>
      </c>
      <c r="G53" s="38">
        <f>'Données règlements européens'!Q8+'Données règlements européens'!X8+'Données règlements européens'!Z8+'Données règlements européens'!AB8</f>
        <v>186</v>
      </c>
      <c r="H53" s="50">
        <f t="shared" si="4"/>
        <v>0.25479452054794521</v>
      </c>
      <c r="I53" s="38">
        <f t="shared" si="5"/>
        <v>730</v>
      </c>
      <c r="J53" s="50">
        <f t="shared" si="6"/>
        <v>1</v>
      </c>
      <c r="K53" s="19"/>
      <c r="L53" s="51">
        <f t="shared" si="7"/>
        <v>7.8155473050085956E-3</v>
      </c>
      <c r="M53" s="51">
        <f t="shared" si="8"/>
        <v>8.9126559714795004E-4</v>
      </c>
      <c r="N53" s="51">
        <f t="shared" si="9"/>
        <v>5.285051827605019E-4</v>
      </c>
    </row>
    <row r="54" spans="1:14">
      <c r="A54" s="19"/>
      <c r="B54" s="1" t="s">
        <v>19</v>
      </c>
      <c r="C54" s="38">
        <f>'Données règlements européens'!C9</f>
        <v>8413</v>
      </c>
      <c r="D54" s="50">
        <f t="shared" si="2"/>
        <v>0.1074347448536548</v>
      </c>
      <c r="E54" s="38">
        <f>'Données règlements européens'!J9</f>
        <v>1530</v>
      </c>
      <c r="F54" s="50">
        <f t="shared" si="3"/>
        <v>1.9538233641518108E-2</v>
      </c>
      <c r="G54" s="38">
        <f>'Données règlements européens'!Q9+'Données règlements européens'!X9+'Données règlements européens'!Z9+'Données règlements européens'!AB9</f>
        <v>68365</v>
      </c>
      <c r="H54" s="50">
        <f t="shared" si="4"/>
        <v>0.87302702150482714</v>
      </c>
      <c r="I54" s="38">
        <f t="shared" si="5"/>
        <v>78308</v>
      </c>
      <c r="J54" s="50">
        <f t="shared" si="6"/>
        <v>1</v>
      </c>
      <c r="K54" s="19"/>
      <c r="L54" s="51">
        <f t="shared" si="7"/>
        <v>0.12153826151023533</v>
      </c>
      <c r="M54" s="51">
        <f t="shared" si="8"/>
        <v>0.45454545454545453</v>
      </c>
      <c r="N54" s="51">
        <f t="shared" si="9"/>
        <v>0.19425406892162211</v>
      </c>
    </row>
    <row r="55" spans="1:14">
      <c r="A55" s="19"/>
      <c r="B55" s="1" t="s">
        <v>98</v>
      </c>
      <c r="C55" s="38">
        <f>'Données règlements européens'!C10</f>
        <v>0</v>
      </c>
      <c r="D55" s="50" t="e">
        <f t="shared" si="2"/>
        <v>#DIV/0!</v>
      </c>
      <c r="E55" s="38">
        <f>'Données règlements européens'!J10</f>
        <v>0</v>
      </c>
      <c r="F55" s="50" t="e">
        <f t="shared" si="3"/>
        <v>#DIV/0!</v>
      </c>
      <c r="G55" s="38">
        <f>'Données règlements européens'!Q10+'Données règlements européens'!X10+'Données règlements européens'!Z10+'Données règlements européens'!AB10</f>
        <v>0</v>
      </c>
      <c r="H55" s="50" t="e">
        <f t="shared" si="4"/>
        <v>#DIV/0!</v>
      </c>
      <c r="I55" s="38">
        <f t="shared" si="5"/>
        <v>0</v>
      </c>
      <c r="J55" s="50" t="e">
        <f t="shared" si="6"/>
        <v>#DIV/0!</v>
      </c>
      <c r="K55" s="19"/>
      <c r="L55" s="51">
        <f t="shared" si="7"/>
        <v>0</v>
      </c>
      <c r="M55" s="51">
        <f t="shared" si="8"/>
        <v>0</v>
      </c>
      <c r="N55" s="51">
        <f t="shared" si="9"/>
        <v>0</v>
      </c>
    </row>
    <row r="56" spans="1:14">
      <c r="A56" s="19"/>
      <c r="B56" s="1" t="s">
        <v>10</v>
      </c>
      <c r="C56" s="38">
        <f>'Données règlements européens'!C11</f>
        <v>380</v>
      </c>
      <c r="D56" s="50">
        <f t="shared" si="2"/>
        <v>0.48284625158831002</v>
      </c>
      <c r="E56" s="38">
        <f>'Données règlements européens'!J11</f>
        <v>41</v>
      </c>
      <c r="F56" s="50">
        <f t="shared" si="3"/>
        <v>5.2096569250317665E-2</v>
      </c>
      <c r="G56" s="38">
        <f>'Données règlements européens'!Q11+'Données règlements européens'!X11+'Données règlements européens'!Z11+'Données règlements européens'!AB11</f>
        <v>366</v>
      </c>
      <c r="H56" s="50">
        <f t="shared" si="4"/>
        <v>0.46505717916137229</v>
      </c>
      <c r="I56" s="38">
        <f t="shared" si="5"/>
        <v>787</v>
      </c>
      <c r="J56" s="50">
        <f t="shared" si="6"/>
        <v>1</v>
      </c>
      <c r="K56" s="19"/>
      <c r="L56" s="51">
        <f t="shared" si="7"/>
        <v>5.4896635414108438E-3</v>
      </c>
      <c r="M56" s="51">
        <f t="shared" si="8"/>
        <v>1.218062982768865E-2</v>
      </c>
      <c r="N56" s="51">
        <f t="shared" si="9"/>
        <v>1.039961811238407E-3</v>
      </c>
    </row>
    <row r="57" spans="1:14">
      <c r="A57" s="19"/>
      <c r="B57" s="1" t="s">
        <v>29</v>
      </c>
      <c r="C57" s="38">
        <f>'Données règlements européens'!C12</f>
        <v>25</v>
      </c>
      <c r="D57" s="50">
        <f t="shared" si="2"/>
        <v>0.44642857142857145</v>
      </c>
      <c r="E57" s="38">
        <f>'Données règlements européens'!J12</f>
        <v>20</v>
      </c>
      <c r="F57" s="50">
        <f t="shared" si="3"/>
        <v>0.35714285714285715</v>
      </c>
      <c r="G57" s="38">
        <f>'Données règlements européens'!Q12+'Données règlements européens'!X12+'Données règlements européens'!Z12+'Données règlements européens'!AB12</f>
        <v>11</v>
      </c>
      <c r="H57" s="50">
        <f t="shared" si="4"/>
        <v>0.19642857142857142</v>
      </c>
      <c r="I57" s="38">
        <f t="shared" si="5"/>
        <v>56</v>
      </c>
      <c r="J57" s="50">
        <f t="shared" si="6"/>
        <v>1</v>
      </c>
      <c r="K57" s="19"/>
      <c r="L57" s="51">
        <f t="shared" si="7"/>
        <v>3.6116207509281868E-4</v>
      </c>
      <c r="M57" s="51">
        <f t="shared" si="8"/>
        <v>5.9417706476530005E-3</v>
      </c>
      <c r="N57" s="51">
        <f t="shared" si="9"/>
        <v>3.1255682851427534E-5</v>
      </c>
    </row>
    <row r="58" spans="1:14">
      <c r="A58" s="19"/>
      <c r="B58" s="1" t="s">
        <v>42</v>
      </c>
      <c r="C58" s="38">
        <f>'Données règlements européens'!C13</f>
        <v>132</v>
      </c>
      <c r="D58" s="50">
        <f t="shared" si="2"/>
        <v>0.88</v>
      </c>
      <c r="E58" s="38">
        <f>'Données règlements européens'!J13</f>
        <v>7</v>
      </c>
      <c r="F58" s="50">
        <f t="shared" si="3"/>
        <v>4.6666666666666669E-2</v>
      </c>
      <c r="G58" s="38">
        <f>'Données règlements européens'!Q13+'Données règlements européens'!X13+'Données règlements européens'!Z13+'Données règlements européens'!AB13</f>
        <v>11</v>
      </c>
      <c r="H58" s="50">
        <f t="shared" si="4"/>
        <v>7.3333333333333334E-2</v>
      </c>
      <c r="I58" s="38">
        <f t="shared" si="5"/>
        <v>150</v>
      </c>
      <c r="J58" s="50">
        <f t="shared" si="6"/>
        <v>1</v>
      </c>
      <c r="K58" s="19"/>
      <c r="L58" s="51">
        <f t="shared" si="7"/>
        <v>1.9069357564900824E-3</v>
      </c>
      <c r="M58" s="51">
        <f t="shared" si="8"/>
        <v>2.0796197266785502E-3</v>
      </c>
      <c r="N58" s="51">
        <f t="shared" si="9"/>
        <v>3.1255682851427534E-5</v>
      </c>
    </row>
    <row r="59" spans="1:14">
      <c r="A59" s="19"/>
      <c r="B59" s="1" t="s">
        <v>0</v>
      </c>
      <c r="C59" s="38">
        <f>'Données règlements européens'!C14</f>
        <v>757</v>
      </c>
      <c r="D59" s="50">
        <f t="shared" si="2"/>
        <v>0.37199017199017198</v>
      </c>
      <c r="E59" s="38">
        <f>'Données règlements européens'!J14</f>
        <v>13</v>
      </c>
      <c r="F59" s="50">
        <f t="shared" si="3"/>
        <v>6.3882063882063885E-3</v>
      </c>
      <c r="G59" s="38">
        <f>'Données règlements européens'!Q14+'Données règlements européens'!X14+'Données règlements européens'!Z14+'Données règlements européens'!AB14</f>
        <v>1265</v>
      </c>
      <c r="H59" s="50">
        <f t="shared" si="4"/>
        <v>0.6216216216216216</v>
      </c>
      <c r="I59" s="38">
        <f t="shared" si="5"/>
        <v>2035</v>
      </c>
      <c r="J59" s="50">
        <f t="shared" si="6"/>
        <v>1</v>
      </c>
      <c r="K59" s="19"/>
      <c r="L59" s="51">
        <f t="shared" si="7"/>
        <v>1.0935987633810549E-2</v>
      </c>
      <c r="M59" s="51">
        <f t="shared" si="8"/>
        <v>3.8621509209744503E-3</v>
      </c>
      <c r="N59" s="51">
        <f t="shared" si="9"/>
        <v>3.5944035279141663E-3</v>
      </c>
    </row>
    <row r="60" spans="1:14">
      <c r="A60" s="19"/>
      <c r="B60" s="1" t="s">
        <v>21</v>
      </c>
      <c r="C60" s="38">
        <f>'Données règlements européens'!C15</f>
        <v>4432</v>
      </c>
      <c r="D60" s="50">
        <f t="shared" si="2"/>
        <v>0.430667573608007</v>
      </c>
      <c r="E60" s="38">
        <f>'Données règlements européens'!J15</f>
        <v>56</v>
      </c>
      <c r="F60" s="50">
        <f t="shared" si="3"/>
        <v>5.441648041978428E-3</v>
      </c>
      <c r="G60" s="38">
        <f>'Données règlements européens'!Q15+'Données règlements européens'!X15+'Données règlements européens'!Z15+'Données règlements européens'!AB15</f>
        <v>5803</v>
      </c>
      <c r="H60" s="50">
        <f t="shared" si="4"/>
        <v>0.56389077835001455</v>
      </c>
      <c r="I60" s="38">
        <f t="shared" si="5"/>
        <v>10291</v>
      </c>
      <c r="J60" s="50">
        <f t="shared" si="6"/>
        <v>1</v>
      </c>
      <c r="K60" s="19"/>
      <c r="L60" s="51">
        <f t="shared" si="7"/>
        <v>6.4026812672454886E-2</v>
      </c>
      <c r="M60" s="51">
        <f t="shared" si="8"/>
        <v>1.6636957813428402E-2</v>
      </c>
      <c r="N60" s="51">
        <f t="shared" si="9"/>
        <v>1.6488793416984907E-2</v>
      </c>
    </row>
    <row r="61" spans="1:14">
      <c r="A61" s="19"/>
      <c r="B61" s="1" t="s">
        <v>5</v>
      </c>
      <c r="C61" s="38">
        <f>'Données règlements européens'!C16</f>
        <v>57</v>
      </c>
      <c r="D61" s="50">
        <f t="shared" si="2"/>
        <v>0.3352941176470588</v>
      </c>
      <c r="E61" s="38">
        <f>'Données règlements européens'!J16</f>
        <v>1</v>
      </c>
      <c r="F61" s="50">
        <f t="shared" si="3"/>
        <v>5.8823529411764705E-3</v>
      </c>
      <c r="G61" s="38">
        <f>'Données règlements européens'!Q16+'Données règlements européens'!X16+'Données règlements européens'!Z16+'Données règlements européens'!AB16</f>
        <v>112</v>
      </c>
      <c r="H61" s="50">
        <f t="shared" si="4"/>
        <v>0.6588235294117647</v>
      </c>
      <c r="I61" s="38">
        <f t="shared" si="5"/>
        <v>170</v>
      </c>
      <c r="J61" s="50">
        <f t="shared" si="6"/>
        <v>1</v>
      </c>
      <c r="K61" s="19"/>
      <c r="L61" s="51">
        <f t="shared" si="7"/>
        <v>8.2344953121162652E-4</v>
      </c>
      <c r="M61" s="51">
        <f t="shared" si="8"/>
        <v>2.9708853238265005E-4</v>
      </c>
      <c r="N61" s="51">
        <f t="shared" si="9"/>
        <v>3.1823967994180761E-4</v>
      </c>
    </row>
    <row r="62" spans="1:14">
      <c r="A62" s="19"/>
      <c r="B62" s="1" t="s">
        <v>4</v>
      </c>
      <c r="C62" s="38">
        <f>'Données règlements européens'!C17</f>
        <v>234</v>
      </c>
      <c r="D62" s="50">
        <f t="shared" si="2"/>
        <v>0.4785276073619632</v>
      </c>
      <c r="E62" s="38">
        <f>'Données règlements européens'!J17</f>
        <v>7</v>
      </c>
      <c r="F62" s="50">
        <f t="shared" si="3"/>
        <v>1.4314928425357873E-2</v>
      </c>
      <c r="G62" s="38">
        <f>'Données règlements européens'!Q17+'Données règlements européens'!X17+'Données règlements européens'!Z17+'Données règlements européens'!AB17</f>
        <v>248</v>
      </c>
      <c r="H62" s="50">
        <f t="shared" si="4"/>
        <v>0.50715746421267893</v>
      </c>
      <c r="I62" s="38">
        <f t="shared" si="5"/>
        <v>489</v>
      </c>
      <c r="J62" s="50">
        <f t="shared" si="6"/>
        <v>1</v>
      </c>
      <c r="K62" s="19"/>
      <c r="L62" s="51">
        <f t="shared" si="7"/>
        <v>3.3804770228687826E-3</v>
      </c>
      <c r="M62" s="51">
        <f t="shared" si="8"/>
        <v>2.0796197266785502E-3</v>
      </c>
      <c r="N62" s="51">
        <f t="shared" si="9"/>
        <v>7.046735770140025E-4</v>
      </c>
    </row>
    <row r="63" spans="1:14">
      <c r="A63" s="19"/>
      <c r="B63" s="1" t="s">
        <v>17</v>
      </c>
      <c r="C63" s="38">
        <f>'Données règlements européens'!C18</f>
        <v>278</v>
      </c>
      <c r="D63" s="50">
        <f t="shared" si="2"/>
        <v>0.47848537005163511</v>
      </c>
      <c r="E63" s="38">
        <f>'Données règlements européens'!J18</f>
        <v>38</v>
      </c>
      <c r="F63" s="50">
        <f t="shared" si="3"/>
        <v>6.5404475043029264E-2</v>
      </c>
      <c r="G63" s="38">
        <f>'Données règlements européens'!Q18+'Données règlements européens'!X18+'Données règlements européens'!Z18+'Données règlements européens'!AB18</f>
        <v>265</v>
      </c>
      <c r="H63" s="50">
        <f t="shared" si="4"/>
        <v>0.45611015490533563</v>
      </c>
      <c r="I63" s="38">
        <f t="shared" si="5"/>
        <v>581</v>
      </c>
      <c r="J63" s="50">
        <f t="shared" si="6"/>
        <v>1</v>
      </c>
      <c r="K63" s="19"/>
      <c r="L63" s="51">
        <f t="shared" si="7"/>
        <v>4.0161222750321433E-3</v>
      </c>
      <c r="M63" s="51">
        <f t="shared" si="8"/>
        <v>1.1289364230540701E-2</v>
      </c>
      <c r="N63" s="51">
        <f t="shared" si="9"/>
        <v>7.5297781414802693E-4</v>
      </c>
    </row>
    <row r="64" spans="1:14">
      <c r="A64" s="19"/>
      <c r="B64" s="1" t="s">
        <v>11</v>
      </c>
      <c r="C64" s="38">
        <f>'Données règlements européens'!C19</f>
        <v>255</v>
      </c>
      <c r="D64" s="50">
        <f t="shared" si="2"/>
        <v>0.77507598784194531</v>
      </c>
      <c r="E64" s="38">
        <f>'Données règlements européens'!J19</f>
        <v>6</v>
      </c>
      <c r="F64" s="50">
        <f t="shared" si="3"/>
        <v>1.82370820668693E-2</v>
      </c>
      <c r="G64" s="38">
        <f>'Données règlements européens'!Q19+'Données règlements européens'!X19+'Données règlements européens'!Z19+'Données règlements européens'!AB19</f>
        <v>68</v>
      </c>
      <c r="H64" s="50">
        <f t="shared" si="4"/>
        <v>0.20668693009118541</v>
      </c>
      <c r="I64" s="38">
        <f t="shared" si="5"/>
        <v>329</v>
      </c>
      <c r="J64" s="50">
        <f t="shared" si="6"/>
        <v>1</v>
      </c>
      <c r="K64" s="19"/>
      <c r="L64" s="51">
        <f t="shared" si="7"/>
        <v>3.6838531659467502E-3</v>
      </c>
      <c r="M64" s="51">
        <f t="shared" si="8"/>
        <v>1.7825311942959001E-3</v>
      </c>
      <c r="N64" s="51">
        <f t="shared" si="9"/>
        <v>1.9321694853609747E-4</v>
      </c>
    </row>
    <row r="65" spans="1:14">
      <c r="A65" s="19"/>
      <c r="B65" s="1" t="s">
        <v>23</v>
      </c>
      <c r="C65" s="38">
        <f>'Données règlements européens'!C20</f>
        <v>1030</v>
      </c>
      <c r="D65" s="50">
        <f t="shared" si="2"/>
        <v>0.72078376487053886</v>
      </c>
      <c r="E65" s="38">
        <f>'Données règlements européens'!J20</f>
        <v>2</v>
      </c>
      <c r="F65" s="50">
        <f t="shared" si="3"/>
        <v>1.3995801259622112E-3</v>
      </c>
      <c r="G65" s="38">
        <f>'Données règlements européens'!Q20+'Données règlements européens'!X20+'Données règlements européens'!Z20+'Données règlements européens'!AB20</f>
        <v>397</v>
      </c>
      <c r="H65" s="50">
        <f t="shared" si="4"/>
        <v>0.27781665500349895</v>
      </c>
      <c r="I65" s="38">
        <f t="shared" si="5"/>
        <v>1429</v>
      </c>
      <c r="J65" s="50">
        <f t="shared" si="6"/>
        <v>1</v>
      </c>
      <c r="K65" s="19"/>
      <c r="L65" s="51">
        <f t="shared" si="7"/>
        <v>1.4879877493824129E-2</v>
      </c>
      <c r="M65" s="51">
        <f t="shared" si="8"/>
        <v>5.941770647653001E-4</v>
      </c>
      <c r="N65" s="51">
        <f t="shared" si="9"/>
        <v>1.1280460083651573E-3</v>
      </c>
    </row>
    <row r="66" spans="1:14">
      <c r="A66" s="19"/>
      <c r="B66" s="1" t="s">
        <v>1</v>
      </c>
      <c r="C66" s="38">
        <f>'Données règlements européens'!C21</f>
        <v>35</v>
      </c>
      <c r="D66" s="50">
        <f t="shared" si="2"/>
        <v>0.76086956521739135</v>
      </c>
      <c r="E66" s="38">
        <f>'Données règlements européens'!J21</f>
        <v>0</v>
      </c>
      <c r="F66" s="50">
        <f t="shared" si="3"/>
        <v>0</v>
      </c>
      <c r="G66" s="38">
        <f>'Données règlements européens'!Q21+'Données règlements européens'!X21+'Données règlements européens'!Z21+'Données règlements européens'!AB21</f>
        <v>11</v>
      </c>
      <c r="H66" s="50">
        <f t="shared" si="4"/>
        <v>0.2391304347826087</v>
      </c>
      <c r="I66" s="38">
        <f t="shared" si="5"/>
        <v>46</v>
      </c>
      <c r="J66" s="50">
        <f t="shared" si="6"/>
        <v>1</v>
      </c>
      <c r="K66" s="19"/>
      <c r="L66" s="51">
        <f t="shared" si="7"/>
        <v>5.0562690512994616E-4</v>
      </c>
      <c r="M66" s="51">
        <f t="shared" si="8"/>
        <v>0</v>
      </c>
      <c r="N66" s="51">
        <f t="shared" si="9"/>
        <v>3.1255682851427534E-5</v>
      </c>
    </row>
    <row r="67" spans="1:14">
      <c r="A67" s="19"/>
      <c r="B67" s="1" t="s">
        <v>18</v>
      </c>
      <c r="C67" s="38">
        <f>'Données règlements européens'!C22</f>
        <v>10441</v>
      </c>
      <c r="D67" s="50">
        <f t="shared" si="2"/>
        <v>0.70709738588649595</v>
      </c>
      <c r="E67" s="38">
        <f>'Données règlements européens'!J22</f>
        <v>593</v>
      </c>
      <c r="F67" s="50">
        <f t="shared" si="3"/>
        <v>4.0159826628741707E-2</v>
      </c>
      <c r="G67" s="38">
        <f>'Données règlements européens'!Q22+'Données règlements européens'!X22+'Données règlements européens'!Z22+'Données règlements européens'!AB22</f>
        <v>3732</v>
      </c>
      <c r="H67" s="50">
        <f t="shared" si="4"/>
        <v>0.25274278748476231</v>
      </c>
      <c r="I67" s="38">
        <f t="shared" si="5"/>
        <v>14766</v>
      </c>
      <c r="J67" s="50">
        <f t="shared" si="6"/>
        <v>1</v>
      </c>
      <c r="K67" s="19"/>
      <c r="L67" s="51">
        <f t="shared" si="7"/>
        <v>0.15083572904176479</v>
      </c>
      <c r="M67" s="51">
        <f t="shared" si="8"/>
        <v>0.17617349970291146</v>
      </c>
      <c r="N67" s="51">
        <f t="shared" si="9"/>
        <v>1.0604200763775232E-2</v>
      </c>
    </row>
    <row r="68" spans="1:14">
      <c r="A68" s="19"/>
      <c r="B68" s="1" t="s">
        <v>6</v>
      </c>
      <c r="C68" s="38">
        <f>'Données règlements européens'!C23</f>
        <v>91</v>
      </c>
      <c r="D68" s="50">
        <f t="shared" si="2"/>
        <v>0.80530973451327437</v>
      </c>
      <c r="E68" s="38">
        <f>'Données règlements européens'!J23</f>
        <v>0</v>
      </c>
      <c r="F68" s="50">
        <f t="shared" si="3"/>
        <v>0</v>
      </c>
      <c r="G68" s="38">
        <f>'Données règlements européens'!Q23+'Données règlements européens'!X23+'Données règlements européens'!Z23+'Données règlements européens'!AB23</f>
        <v>22</v>
      </c>
      <c r="H68" s="50">
        <f t="shared" si="4"/>
        <v>0.19469026548672566</v>
      </c>
      <c r="I68" s="38">
        <f t="shared" si="5"/>
        <v>113</v>
      </c>
      <c r="J68" s="50">
        <f t="shared" si="6"/>
        <v>1</v>
      </c>
      <c r="K68" s="19"/>
      <c r="L68" s="51">
        <f t="shared" si="7"/>
        <v>1.3146299533378599E-3</v>
      </c>
      <c r="M68" s="51">
        <f t="shared" si="8"/>
        <v>0</v>
      </c>
      <c r="N68" s="51">
        <f t="shared" si="9"/>
        <v>6.2511365702855068E-5</v>
      </c>
    </row>
    <row r="69" spans="1:14">
      <c r="A69" s="19"/>
      <c r="B69" s="1" t="s">
        <v>12</v>
      </c>
      <c r="C69" s="38">
        <f>'Données règlements européens'!C24</f>
        <v>5</v>
      </c>
      <c r="D69" s="50">
        <f t="shared" si="2"/>
        <v>0.27777777777777779</v>
      </c>
      <c r="E69" s="38">
        <f>'Données règlements européens'!J24</f>
        <v>0</v>
      </c>
      <c r="F69" s="50">
        <f t="shared" si="3"/>
        <v>0</v>
      </c>
      <c r="G69" s="38">
        <f>'Données règlements européens'!Q24+'Données règlements européens'!X24+'Données règlements européens'!Z24+'Données règlements européens'!AB24</f>
        <v>13</v>
      </c>
      <c r="H69" s="50">
        <f t="shared" si="4"/>
        <v>0.72222222222222221</v>
      </c>
      <c r="I69" s="38">
        <f t="shared" si="5"/>
        <v>18</v>
      </c>
      <c r="J69" s="50">
        <f t="shared" si="6"/>
        <v>1</v>
      </c>
      <c r="K69" s="19"/>
      <c r="L69" s="51">
        <f t="shared" si="7"/>
        <v>7.2232415018563727E-5</v>
      </c>
      <c r="M69" s="51">
        <f t="shared" si="8"/>
        <v>0</v>
      </c>
      <c r="N69" s="51">
        <f t="shared" si="9"/>
        <v>3.693853427895981E-5</v>
      </c>
    </row>
    <row r="70" spans="1:14">
      <c r="A70" s="19"/>
      <c r="B70" s="1" t="s">
        <v>7</v>
      </c>
      <c r="C70" s="38">
        <f>'Données règlements européens'!C25</f>
        <v>234</v>
      </c>
      <c r="D70" s="50">
        <f t="shared" si="2"/>
        <v>0.85090909090909095</v>
      </c>
      <c r="E70" s="38">
        <f>'Données règlements européens'!J25</f>
        <v>1</v>
      </c>
      <c r="F70" s="50">
        <f t="shared" si="3"/>
        <v>3.6363636363636364E-3</v>
      </c>
      <c r="G70" s="38">
        <f>'Données règlements européens'!Q25+'Données règlements européens'!X25+'Données règlements européens'!Z25+'Données règlements européens'!AB25</f>
        <v>40</v>
      </c>
      <c r="H70" s="50">
        <f t="shared" si="4"/>
        <v>0.14545454545454545</v>
      </c>
      <c r="I70" s="38">
        <f t="shared" si="5"/>
        <v>275</v>
      </c>
      <c r="J70" s="50">
        <f t="shared" si="6"/>
        <v>1</v>
      </c>
      <c r="K70" s="19"/>
      <c r="L70" s="51">
        <f t="shared" si="7"/>
        <v>3.3804770228687826E-3</v>
      </c>
      <c r="M70" s="51">
        <f t="shared" si="8"/>
        <v>2.9708853238265005E-4</v>
      </c>
      <c r="N70" s="51">
        <f t="shared" si="9"/>
        <v>1.1365702855064557E-4</v>
      </c>
    </row>
    <row r="71" spans="1:14">
      <c r="A71" s="19"/>
      <c r="B71" s="1" t="s">
        <v>24</v>
      </c>
      <c r="C71" s="38">
        <f>'Données règlements européens'!C26</f>
        <v>1329</v>
      </c>
      <c r="D71" s="50">
        <f t="shared" si="2"/>
        <v>9.4765439493443432E-3</v>
      </c>
      <c r="E71" s="38">
        <f>'Données règlements européens'!J26</f>
        <v>798</v>
      </c>
      <c r="F71" s="50">
        <f t="shared" si="3"/>
        <v>5.6902047190194021E-3</v>
      </c>
      <c r="G71" s="38">
        <f>'Données règlements européens'!Q26+'Données règlements européens'!X26+'Données règlements européens'!Z26+'Données règlements européens'!AB26</f>
        <v>138114</v>
      </c>
      <c r="H71" s="50">
        <f t="shared" si="4"/>
        <v>0.98483325133163624</v>
      </c>
      <c r="I71" s="38">
        <f t="shared" si="5"/>
        <v>140241</v>
      </c>
      <c r="J71" s="50">
        <f t="shared" si="6"/>
        <v>1</v>
      </c>
      <c r="K71" s="19"/>
      <c r="L71" s="51">
        <f t="shared" si="7"/>
        <v>1.9199375911934241E-2</v>
      </c>
      <c r="M71" s="51">
        <f t="shared" si="8"/>
        <v>0.23707664884135474</v>
      </c>
      <c r="N71" s="51">
        <f t="shared" si="9"/>
        <v>0.39244067103109659</v>
      </c>
    </row>
    <row r="72" spans="1:14">
      <c r="A72" s="19"/>
      <c r="B72" s="1" t="s">
        <v>99</v>
      </c>
      <c r="C72" s="38">
        <f>'Données règlements européens'!C27</f>
        <v>0</v>
      </c>
      <c r="D72" s="50" t="e">
        <f t="shared" si="2"/>
        <v>#DIV/0!</v>
      </c>
      <c r="E72" s="38">
        <f>'Données règlements européens'!J27</f>
        <v>0</v>
      </c>
      <c r="F72" s="50" t="e">
        <f t="shared" si="3"/>
        <v>#DIV/0!</v>
      </c>
      <c r="G72" s="38">
        <f>'Données règlements européens'!Q27+'Données règlements européens'!X27+'Données règlements européens'!Z27+'Données règlements européens'!AB27</f>
        <v>0</v>
      </c>
      <c r="H72" s="50" t="e">
        <f t="shared" si="4"/>
        <v>#DIV/0!</v>
      </c>
      <c r="I72" s="38">
        <f t="shared" si="5"/>
        <v>0</v>
      </c>
      <c r="J72" s="50" t="e">
        <f t="shared" si="6"/>
        <v>#DIV/0!</v>
      </c>
      <c r="K72" s="19"/>
      <c r="L72" s="51">
        <f t="shared" si="7"/>
        <v>0</v>
      </c>
      <c r="M72" s="51">
        <f t="shared" si="8"/>
        <v>0</v>
      </c>
      <c r="N72" s="51">
        <f t="shared" si="9"/>
        <v>0</v>
      </c>
    </row>
    <row r="73" spans="1:14">
      <c r="A73" s="19"/>
      <c r="B73" s="1" t="s">
        <v>27</v>
      </c>
      <c r="C73" s="38">
        <f>'Données règlements européens'!C28</f>
        <v>26</v>
      </c>
      <c r="D73" s="50">
        <f t="shared" si="2"/>
        <v>0.52</v>
      </c>
      <c r="E73" s="38">
        <f>'Données règlements européens'!J28</f>
        <v>0</v>
      </c>
      <c r="F73" s="50">
        <f t="shared" si="3"/>
        <v>0</v>
      </c>
      <c r="G73" s="38">
        <f>'Données règlements européens'!Q28+'Données règlements européens'!X28+'Données règlements européens'!Z28+'Données règlements européens'!AB28</f>
        <v>24</v>
      </c>
      <c r="H73" s="50">
        <f t="shared" si="4"/>
        <v>0.48</v>
      </c>
      <c r="I73" s="38">
        <f t="shared" si="5"/>
        <v>50</v>
      </c>
      <c r="J73" s="50">
        <f t="shared" si="6"/>
        <v>1</v>
      </c>
      <c r="K73" s="19"/>
      <c r="L73" s="51">
        <f t="shared" si="7"/>
        <v>3.7560855809653138E-4</v>
      </c>
      <c r="M73" s="51">
        <f t="shared" si="8"/>
        <v>0</v>
      </c>
      <c r="N73" s="51">
        <f t="shared" si="9"/>
        <v>6.8194217130387337E-5</v>
      </c>
    </row>
    <row r="74" spans="1:14">
      <c r="A74" s="19"/>
      <c r="B74" s="1" t="s">
        <v>2</v>
      </c>
      <c r="C74" s="38">
        <f>'Données règlements européens'!C29</f>
        <v>458</v>
      </c>
      <c r="D74" s="50">
        <f t="shared" si="2"/>
        <v>0.51868629671574173</v>
      </c>
      <c r="E74" s="38">
        <f>'Données règlements européens'!J29</f>
        <v>0</v>
      </c>
      <c r="F74" s="50">
        <f t="shared" si="3"/>
        <v>0</v>
      </c>
      <c r="G74" s="38">
        <f>'Données règlements européens'!Q29+'Données règlements européens'!X29+'Données règlements européens'!Z29+'Données règlements européens'!AB29</f>
        <v>425</v>
      </c>
      <c r="H74" s="50">
        <f t="shared" si="4"/>
        <v>0.48131370328425821</v>
      </c>
      <c r="I74" s="38">
        <f t="shared" si="5"/>
        <v>883</v>
      </c>
      <c r="J74" s="50">
        <f t="shared" si="6"/>
        <v>1</v>
      </c>
      <c r="K74" s="19"/>
      <c r="L74" s="51">
        <f t="shared" si="7"/>
        <v>6.6164892157004381E-3</v>
      </c>
      <c r="M74" s="51">
        <f t="shared" si="8"/>
        <v>0</v>
      </c>
      <c r="N74" s="51">
        <f t="shared" si="9"/>
        <v>1.2076059283506091E-3</v>
      </c>
    </row>
    <row r="75" spans="1:14">
      <c r="A75" s="19"/>
      <c r="B75" s="1" t="s">
        <v>22</v>
      </c>
      <c r="C75" s="38">
        <f>'Données règlements européens'!C30</f>
        <v>4974</v>
      </c>
      <c r="D75" s="50">
        <f t="shared" si="2"/>
        <v>0.3665168373738118</v>
      </c>
      <c r="E75" s="38">
        <f>'Données règlements européens'!J30</f>
        <v>39</v>
      </c>
      <c r="F75" s="50">
        <f t="shared" si="3"/>
        <v>2.8737749613145678E-3</v>
      </c>
      <c r="G75" s="38">
        <f>'Données règlements européens'!Q30+'Données règlements européens'!X30+'Données règlements européens'!Z30+'Données règlements européens'!AB30</f>
        <v>8558</v>
      </c>
      <c r="H75" s="50">
        <f t="shared" si="4"/>
        <v>0.63060938766487362</v>
      </c>
      <c r="I75" s="38">
        <f t="shared" si="5"/>
        <v>13571</v>
      </c>
      <c r="J75" s="50">
        <f t="shared" si="6"/>
        <v>1</v>
      </c>
      <c r="K75" s="19"/>
      <c r="L75" s="51">
        <f t="shared" si="7"/>
        <v>7.1856806460467201E-2</v>
      </c>
      <c r="M75" s="51">
        <f t="shared" si="8"/>
        <v>1.1586452762923352E-2</v>
      </c>
      <c r="N75" s="51">
        <f t="shared" si="9"/>
        <v>2.4316921258410621E-2</v>
      </c>
    </row>
    <row r="76" spans="1:14">
      <c r="A76" s="19"/>
      <c r="B76" s="1" t="s">
        <v>97</v>
      </c>
      <c r="C76" s="38">
        <f>'Données règlements européens'!C31</f>
        <v>0</v>
      </c>
      <c r="D76" s="50" t="e">
        <f t="shared" si="2"/>
        <v>#DIV/0!</v>
      </c>
      <c r="E76" s="38">
        <f>'Données règlements européens'!J31</f>
        <v>0</v>
      </c>
      <c r="F76" s="50" t="e">
        <f t="shared" si="3"/>
        <v>#DIV/0!</v>
      </c>
      <c r="G76" s="38">
        <f>'Données règlements européens'!Q31+'Données règlements européens'!X31+'Données règlements européens'!Z31+'Données règlements européens'!AB31</f>
        <v>0</v>
      </c>
      <c r="H76" s="50" t="e">
        <f t="shared" si="4"/>
        <v>#DIV/0!</v>
      </c>
      <c r="I76" s="38">
        <f t="shared" si="5"/>
        <v>0</v>
      </c>
      <c r="J76" s="50" t="e">
        <f t="shared" si="6"/>
        <v>#DIV/0!</v>
      </c>
      <c r="K76" s="19"/>
      <c r="L76" s="51">
        <f t="shared" si="7"/>
        <v>0</v>
      </c>
      <c r="M76" s="51">
        <f t="shared" si="8"/>
        <v>0</v>
      </c>
      <c r="N76" s="51">
        <f t="shared" si="9"/>
        <v>0</v>
      </c>
    </row>
    <row r="77" spans="1:14">
      <c r="A77" s="19"/>
      <c r="B77" s="1" t="s">
        <v>16</v>
      </c>
      <c r="C77" s="38">
        <f>'Données règlements européens'!C32</f>
        <v>1147</v>
      </c>
      <c r="D77" s="50">
        <f t="shared" si="2"/>
        <v>0.57064676616915422</v>
      </c>
      <c r="E77" s="38">
        <f>'Données règlements européens'!J32</f>
        <v>10</v>
      </c>
      <c r="F77" s="50">
        <f t="shared" si="3"/>
        <v>4.9751243781094526E-3</v>
      </c>
      <c r="G77" s="38">
        <f>'Données règlements européens'!Q32+'Données règlements européens'!X32+'Données règlements européens'!Z32+'Données règlements européens'!AB32</f>
        <v>853</v>
      </c>
      <c r="H77" s="50">
        <f t="shared" si="4"/>
        <v>0.4243781094527363</v>
      </c>
      <c r="I77" s="38">
        <f t="shared" si="5"/>
        <v>2010</v>
      </c>
      <c r="J77" s="50">
        <f t="shared" si="6"/>
        <v>1</v>
      </c>
      <c r="K77" s="19"/>
      <c r="L77" s="51">
        <f t="shared" si="7"/>
        <v>1.6570116005258519E-2</v>
      </c>
      <c r="M77" s="51">
        <f t="shared" si="8"/>
        <v>2.9708853238265003E-3</v>
      </c>
      <c r="N77" s="51">
        <f t="shared" si="9"/>
        <v>2.4237361338425166E-3</v>
      </c>
    </row>
    <row r="78" spans="1:14">
      <c r="A78" s="19"/>
      <c r="B78" s="1" t="s">
        <v>25</v>
      </c>
      <c r="C78" s="38">
        <f>'Données règlements européens'!C33</f>
        <v>3331</v>
      </c>
      <c r="D78" s="50">
        <f t="shared" si="2"/>
        <v>0.70333614864864868</v>
      </c>
      <c r="E78" s="38">
        <f>'Données règlements européens'!J33</f>
        <v>13</v>
      </c>
      <c r="F78" s="50">
        <f t="shared" si="3"/>
        <v>2.7449324324324326E-3</v>
      </c>
      <c r="G78" s="38">
        <f>'Données règlements européens'!Q33+'Données règlements européens'!X33+'Données règlements européens'!Z33+'Données règlements européens'!AB33</f>
        <v>1392</v>
      </c>
      <c r="H78" s="50">
        <f t="shared" si="4"/>
        <v>0.29391891891891891</v>
      </c>
      <c r="I78" s="38">
        <f t="shared" si="5"/>
        <v>4736</v>
      </c>
      <c r="J78" s="50">
        <f t="shared" si="6"/>
        <v>1</v>
      </c>
      <c r="K78" s="19"/>
      <c r="L78" s="51">
        <f t="shared" si="7"/>
        <v>4.812123488536716E-2</v>
      </c>
      <c r="M78" s="51">
        <f t="shared" si="8"/>
        <v>3.8621509209744503E-3</v>
      </c>
      <c r="N78" s="51">
        <f t="shared" si="9"/>
        <v>3.9552645935624657E-3</v>
      </c>
    </row>
    <row r="79" spans="1:14">
      <c r="A79" s="19"/>
      <c r="B79" s="1" t="s">
        <v>14</v>
      </c>
      <c r="C79" s="38">
        <f>'Données règlements européens'!C34</f>
        <v>500</v>
      </c>
      <c r="D79" s="50">
        <f t="shared" si="2"/>
        <v>0.81300813008130079</v>
      </c>
      <c r="E79" s="38">
        <f>'Données règlements européens'!J34</f>
        <v>4</v>
      </c>
      <c r="F79" s="50">
        <f t="shared" si="3"/>
        <v>6.5040650406504065E-3</v>
      </c>
      <c r="G79" s="38">
        <f>'Données règlements européens'!Q34+'Données règlements européens'!X34+'Données règlements européens'!Z34+'Données règlements européens'!AB34</f>
        <v>111</v>
      </c>
      <c r="H79" s="50">
        <f t="shared" si="4"/>
        <v>0.18048780487804877</v>
      </c>
      <c r="I79" s="38">
        <f t="shared" si="5"/>
        <v>615</v>
      </c>
      <c r="J79" s="50">
        <f t="shared" si="6"/>
        <v>1</v>
      </c>
      <c r="K79" s="19"/>
      <c r="L79" s="51">
        <f t="shared" si="7"/>
        <v>7.2232415018563733E-3</v>
      </c>
      <c r="M79" s="51">
        <f t="shared" si="8"/>
        <v>1.1883541295306002E-3</v>
      </c>
      <c r="N79" s="51">
        <f t="shared" si="9"/>
        <v>3.1539825422804144E-4</v>
      </c>
    </row>
    <row r="80" spans="1:14">
      <c r="A80" s="19"/>
      <c r="B80" s="1" t="s">
        <v>13</v>
      </c>
      <c r="C80" s="38">
        <f>'Données règlements européens'!C35</f>
        <v>731</v>
      </c>
      <c r="D80" s="50">
        <f t="shared" si="2"/>
        <v>0.42549476135040742</v>
      </c>
      <c r="E80" s="38">
        <f>'Données règlements européens'!J35</f>
        <v>39</v>
      </c>
      <c r="F80" s="50">
        <f t="shared" si="3"/>
        <v>2.2700814901047729E-2</v>
      </c>
      <c r="G80" s="38">
        <f>'Données règlements européens'!Q35+'Données règlements européens'!X35+'Données règlements européens'!Z35+'Données règlements européens'!AB35</f>
        <v>948</v>
      </c>
      <c r="H80" s="50">
        <f t="shared" si="4"/>
        <v>0.55180442374854477</v>
      </c>
      <c r="I80" s="38">
        <f t="shared" si="5"/>
        <v>1718</v>
      </c>
      <c r="J80" s="50">
        <f t="shared" si="6"/>
        <v>1</v>
      </c>
      <c r="K80" s="19"/>
      <c r="L80" s="51">
        <f t="shared" si="7"/>
        <v>1.0560379075714017E-2</v>
      </c>
      <c r="M80" s="51">
        <f t="shared" si="8"/>
        <v>1.1586452762923352E-2</v>
      </c>
      <c r="N80" s="51">
        <f t="shared" si="9"/>
        <v>2.6936715766502999E-3</v>
      </c>
    </row>
    <row r="81" spans="1:14">
      <c r="A81" s="19"/>
      <c r="B81" s="1" t="s">
        <v>20</v>
      </c>
      <c r="C81" s="38">
        <f>'Données règlements européens'!C36</f>
        <v>17242</v>
      </c>
      <c r="D81" s="50">
        <f t="shared" si="2"/>
        <v>0.27067928852886231</v>
      </c>
      <c r="E81" s="38">
        <f>'Données règlements européens'!J36</f>
        <v>76</v>
      </c>
      <c r="F81" s="50">
        <f t="shared" si="3"/>
        <v>1.1931113518265594E-3</v>
      </c>
      <c r="G81" s="38">
        <f>'Données règlements européens'!Q36+'Données règlements européens'!X36+'Données règlements européens'!Z36+'Données règlements européens'!AB36</f>
        <v>46381</v>
      </c>
      <c r="H81" s="50">
        <f t="shared" si="4"/>
        <v>0.7281276001193111</v>
      </c>
      <c r="I81" s="38">
        <f t="shared" si="5"/>
        <v>63699</v>
      </c>
      <c r="J81" s="50">
        <f t="shared" si="6"/>
        <v>1</v>
      </c>
      <c r="K81" s="19"/>
      <c r="L81" s="51">
        <f t="shared" si="7"/>
        <v>0.24908625995001518</v>
      </c>
      <c r="M81" s="51">
        <f t="shared" si="8"/>
        <v>2.2578728461081402E-2</v>
      </c>
      <c r="N81" s="51">
        <f t="shared" si="9"/>
        <v>0.13178816603018731</v>
      </c>
    </row>
    <row r="82" spans="1:14">
      <c r="A82" s="19"/>
      <c r="B82" s="1" t="s">
        <v>15</v>
      </c>
      <c r="C82" s="38">
        <f>'Données règlements européens'!C37</f>
        <v>269</v>
      </c>
      <c r="D82" s="50">
        <f t="shared" si="2"/>
        <v>0.85396825396825393</v>
      </c>
      <c r="E82" s="38">
        <f>'Données règlements européens'!J37</f>
        <v>1</v>
      </c>
      <c r="F82" s="50">
        <f t="shared" si="3"/>
        <v>3.1746031746031746E-3</v>
      </c>
      <c r="G82" s="38">
        <f>'Données règlements européens'!Q37+'Données règlements européens'!X37+'Données règlements européens'!Z37+'Données règlements européens'!AB37</f>
        <v>45</v>
      </c>
      <c r="H82" s="50">
        <f t="shared" si="4"/>
        <v>0.14285714285714285</v>
      </c>
      <c r="I82" s="38">
        <f t="shared" si="5"/>
        <v>315</v>
      </c>
      <c r="J82" s="50">
        <f t="shared" si="6"/>
        <v>1</v>
      </c>
      <c r="K82" s="19"/>
      <c r="L82" s="51">
        <f t="shared" si="7"/>
        <v>3.8861039279987288E-3</v>
      </c>
      <c r="M82" s="51">
        <f t="shared" si="8"/>
        <v>2.9708853238265005E-4</v>
      </c>
      <c r="N82" s="51">
        <f t="shared" si="9"/>
        <v>1.2786415711947628E-4</v>
      </c>
    </row>
    <row r="83" spans="1:14">
      <c r="B83" s="1" t="s">
        <v>28</v>
      </c>
      <c r="C83" s="38">
        <f>'Données règlements européens'!C38</f>
        <v>89</v>
      </c>
      <c r="D83" s="50">
        <f t="shared" si="2"/>
        <v>0.64492753623188404</v>
      </c>
      <c r="E83" s="38">
        <f>'Données règlements européens'!J38</f>
        <v>12</v>
      </c>
      <c r="F83" s="50">
        <f t="shared" si="3"/>
        <v>8.6956521739130432E-2</v>
      </c>
      <c r="G83" s="38">
        <f>'Données règlements européens'!Q38+'Données règlements européens'!X38+'Données règlements européens'!Z38+'Données règlements européens'!AB38</f>
        <v>37</v>
      </c>
      <c r="H83" s="50">
        <f t="shared" si="4"/>
        <v>0.26811594202898553</v>
      </c>
      <c r="I83" s="38">
        <f t="shared" si="5"/>
        <v>138</v>
      </c>
      <c r="J83" s="50">
        <f t="shared" si="6"/>
        <v>1</v>
      </c>
      <c r="L83" s="51">
        <f t="shared" si="7"/>
        <v>1.2857369873304344E-3</v>
      </c>
      <c r="M83" s="51">
        <f t="shared" si="8"/>
        <v>3.5650623885918001E-3</v>
      </c>
      <c r="N83" s="51">
        <f t="shared" si="9"/>
        <v>1.0513275140934715E-4</v>
      </c>
    </row>
    <row r="84" spans="1:14">
      <c r="B84" s="1" t="s">
        <v>3</v>
      </c>
      <c r="C84" s="38">
        <f>'Données règlements européens'!C39</f>
        <v>919</v>
      </c>
      <c r="D84" s="50">
        <f t="shared" si="2"/>
        <v>0.39156369833830423</v>
      </c>
      <c r="E84" s="38">
        <f>'Données règlements européens'!J39</f>
        <v>3</v>
      </c>
      <c r="F84" s="50">
        <f t="shared" si="3"/>
        <v>1.2782275244993609E-3</v>
      </c>
      <c r="G84" s="38">
        <f>'Données règlements européens'!Q39+'Données règlements européens'!X39+'Données règlements européens'!Z39+'Données règlements européens'!AB39</f>
        <v>1425</v>
      </c>
      <c r="H84" s="50">
        <f t="shared" si="4"/>
        <v>0.60715807413719647</v>
      </c>
      <c r="I84" s="38">
        <f t="shared" si="5"/>
        <v>2347</v>
      </c>
      <c r="J84" s="50">
        <f t="shared" si="6"/>
        <v>1</v>
      </c>
      <c r="L84" s="51">
        <f t="shared" si="7"/>
        <v>1.3276317880412013E-2</v>
      </c>
      <c r="M84" s="51">
        <f t="shared" si="8"/>
        <v>8.9126559714795004E-4</v>
      </c>
      <c r="N84" s="51">
        <f t="shared" si="9"/>
        <v>4.0490316421167485E-3</v>
      </c>
    </row>
    <row r="85" spans="1:14">
      <c r="B85" s="1" t="s">
        <v>26</v>
      </c>
      <c r="C85" s="38">
        <f>'Données règlements européens'!C40</f>
        <v>3585</v>
      </c>
      <c r="D85" s="50">
        <f t="shared" si="2"/>
        <v>0.15433959014981918</v>
      </c>
      <c r="E85" s="38">
        <f>'Données règlements européens'!J40</f>
        <v>5</v>
      </c>
      <c r="F85" s="50">
        <f t="shared" si="3"/>
        <v>2.1525744790769761E-4</v>
      </c>
      <c r="G85" s="38">
        <f>'Données règlements européens'!Q40+'Données règlements européens'!X40+'Données règlements européens'!Z40+'Données règlements européens'!AB40</f>
        <v>19638</v>
      </c>
      <c r="H85" s="50">
        <f t="shared" si="4"/>
        <v>0.84544515240227314</v>
      </c>
      <c r="I85" s="38">
        <f t="shared" si="5"/>
        <v>23228</v>
      </c>
      <c r="J85" s="50">
        <f t="shared" si="6"/>
        <v>1</v>
      </c>
      <c r="L85" s="51">
        <f t="shared" si="7"/>
        <v>5.1790641568310196E-2</v>
      </c>
      <c r="M85" s="51">
        <f t="shared" si="8"/>
        <v>1.4854426619132501E-3</v>
      </c>
      <c r="N85" s="51">
        <f t="shared" si="9"/>
        <v>5.5799918166939445E-2</v>
      </c>
    </row>
    <row r="86" spans="1:14">
      <c r="B86" s="1" t="s">
        <v>96</v>
      </c>
      <c r="C86" s="38">
        <f>'Données règlements européens'!C41</f>
        <v>0</v>
      </c>
      <c r="D86" s="50" t="e">
        <f t="shared" si="2"/>
        <v>#DIV/0!</v>
      </c>
      <c r="E86" s="38">
        <f>'Données règlements européens'!J41</f>
        <v>0</v>
      </c>
      <c r="F86" s="50" t="e">
        <f t="shared" si="3"/>
        <v>#DIV/0!</v>
      </c>
      <c r="G86" s="38">
        <f>'Données règlements européens'!Q41+'Données règlements européens'!X41+'Données règlements européens'!Z41+'Données règlements européens'!AB41</f>
        <v>0</v>
      </c>
      <c r="H86" s="50" t="e">
        <f t="shared" si="4"/>
        <v>#DIV/0!</v>
      </c>
      <c r="I86" s="38">
        <f t="shared" si="5"/>
        <v>0</v>
      </c>
      <c r="J86" s="50" t="e">
        <f t="shared" si="6"/>
        <v>#DIV/0!</v>
      </c>
      <c r="L86" s="51">
        <f t="shared" si="7"/>
        <v>0</v>
      </c>
      <c r="M86" s="51">
        <f t="shared" si="8"/>
        <v>0</v>
      </c>
      <c r="N86" s="51">
        <f t="shared" si="9"/>
        <v>0</v>
      </c>
    </row>
    <row r="87" spans="1:14">
      <c r="B87" s="3" t="s">
        <v>30</v>
      </c>
      <c r="C87" s="132">
        <f>SUM(C51:C86)</f>
        <v>69221</v>
      </c>
      <c r="D87" s="130">
        <f t="shared" si="2"/>
        <v>0.1630559474987221</v>
      </c>
      <c r="E87" s="132">
        <f>SUM(E51:E86)</f>
        <v>3366</v>
      </c>
      <c r="F87" s="130">
        <f t="shared" si="3"/>
        <v>7.9288990231389106E-3</v>
      </c>
      <c r="G87" s="132">
        <f>SUM(G51:G86)</f>
        <v>351936</v>
      </c>
      <c r="H87" s="130">
        <f>G87/I87</f>
        <v>0.82901515347813903</v>
      </c>
      <c r="I87" s="133">
        <f>IF(SUM(I51:I86)=C87+E87+G87,SUM(I51:I86),"Faux")</f>
        <v>424523</v>
      </c>
      <c r="J87" s="130">
        <f t="shared" si="6"/>
        <v>1</v>
      </c>
      <c r="L87" s="51">
        <f>SUM(L51:L86)</f>
        <v>1</v>
      </c>
      <c r="M87" s="51">
        <f t="shared" ref="M87:N87" si="10">SUM(M51:M86)</f>
        <v>0.99999999999999989</v>
      </c>
      <c r="N87" s="51">
        <f t="shared" si="10"/>
        <v>1</v>
      </c>
    </row>
    <row r="88" spans="1:14">
      <c r="B88" s="202" t="s">
        <v>197</v>
      </c>
    </row>
    <row r="116" spans="3:3">
      <c r="C116" s="37"/>
    </row>
    <row r="117" spans="3:3">
      <c r="C117" s="37"/>
    </row>
    <row r="118" spans="3:3">
      <c r="C118" s="37"/>
    </row>
    <row r="119" spans="3:3">
      <c r="C119" s="37"/>
    </row>
    <row r="120" spans="3:3">
      <c r="C120" s="37"/>
    </row>
    <row r="121" spans="3:3">
      <c r="C121" s="37"/>
    </row>
    <row r="122" spans="3:3">
      <c r="C122" s="37"/>
    </row>
    <row r="123" spans="3:3">
      <c r="C123" s="37"/>
    </row>
    <row r="124" spans="3:3">
      <c r="C124" s="37"/>
    </row>
    <row r="125" spans="3:3">
      <c r="C125" s="37"/>
    </row>
    <row r="126" spans="3:3">
      <c r="C126" s="37"/>
    </row>
    <row r="127" spans="3:3">
      <c r="C127" s="37"/>
    </row>
    <row r="128" spans="3:3">
      <c r="C128" s="37"/>
    </row>
    <row r="129" spans="3:3">
      <c r="C129" s="37"/>
    </row>
    <row r="130" spans="3:3">
      <c r="C130" s="37"/>
    </row>
    <row r="131" spans="3:3">
      <c r="C131" s="37"/>
    </row>
    <row r="132" spans="3:3">
      <c r="C132" s="37"/>
    </row>
    <row r="133" spans="3:3">
      <c r="C133" s="37"/>
    </row>
    <row r="134" spans="3:3">
      <c r="C134" s="37"/>
    </row>
    <row r="135" spans="3:3">
      <c r="C135" s="37"/>
    </row>
    <row r="136" spans="3:3">
      <c r="C136" s="37"/>
    </row>
    <row r="137" spans="3:3">
      <c r="C137" s="37"/>
    </row>
    <row r="138" spans="3:3">
      <c r="C138" s="37"/>
    </row>
    <row r="139" spans="3:3">
      <c r="C139" s="37"/>
    </row>
    <row r="140" spans="3:3">
      <c r="C140" s="37"/>
    </row>
    <row r="141" spans="3:3">
      <c r="C141" s="37"/>
    </row>
    <row r="142" spans="3:3">
      <c r="C142" s="37"/>
    </row>
    <row r="143" spans="3:3">
      <c r="C143" s="37"/>
    </row>
    <row r="144" spans="3:3">
      <c r="C144" s="37"/>
    </row>
    <row r="145" spans="3:3">
      <c r="C145" s="37"/>
    </row>
    <row r="146" spans="3:3">
      <c r="C146" s="37"/>
    </row>
    <row r="147" spans="3:3">
      <c r="C147" s="37"/>
    </row>
    <row r="148" spans="3:3">
      <c r="C148" s="37"/>
    </row>
    <row r="149" spans="3:3">
      <c r="C149" s="37"/>
    </row>
    <row r="150" spans="3:3">
      <c r="C150" s="37"/>
    </row>
    <row r="151" spans="3:3">
      <c r="C151" s="37"/>
    </row>
    <row r="152" spans="3:3">
      <c r="C152" s="37"/>
    </row>
    <row r="153" spans="3:3">
      <c r="C153" s="37"/>
    </row>
    <row r="154" spans="3:3">
      <c r="C154" s="37"/>
    </row>
    <row r="155" spans="3:3">
      <c r="C155" s="37"/>
    </row>
    <row r="156" spans="3:3">
      <c r="C156" s="37"/>
    </row>
    <row r="157" spans="3:3">
      <c r="C157" s="37"/>
    </row>
    <row r="158" spans="3:3">
      <c r="C158" s="37"/>
    </row>
    <row r="159" spans="3:3">
      <c r="C159" s="37"/>
    </row>
    <row r="160" spans="3:3">
      <c r="C160" s="37"/>
    </row>
    <row r="161" spans="3:3">
      <c r="C161" s="37"/>
    </row>
    <row r="162" spans="3:3">
      <c r="C162" s="37"/>
    </row>
    <row r="163" spans="3:3">
      <c r="C163" s="37"/>
    </row>
    <row r="164" spans="3:3">
      <c r="C164" s="37"/>
    </row>
    <row r="165" spans="3:3">
      <c r="C165" s="37"/>
    </row>
    <row r="166" spans="3:3">
      <c r="C166" s="37"/>
    </row>
    <row r="167" spans="3:3">
      <c r="C167" s="37"/>
    </row>
    <row r="168" spans="3:3">
      <c r="C168" s="37"/>
    </row>
    <row r="169" spans="3:3">
      <c r="C169" s="37"/>
    </row>
    <row r="170" spans="3:3">
      <c r="C170" s="37"/>
    </row>
    <row r="171" spans="3:3">
      <c r="C171" s="37"/>
    </row>
    <row r="172" spans="3:3">
      <c r="C172" s="37"/>
    </row>
    <row r="173" spans="3:3">
      <c r="C173" s="37"/>
    </row>
    <row r="174" spans="3:3">
      <c r="C174" s="37"/>
    </row>
    <row r="175" spans="3:3">
      <c r="C175" s="37"/>
    </row>
    <row r="176" spans="3:3">
      <c r="C176" s="37"/>
    </row>
  </sheetData>
  <sortState ref="B51:B86">
    <sortCondition ref="B51"/>
  </sortState>
  <mergeCells count="5">
    <mergeCell ref="C3:D3"/>
    <mergeCell ref="C50:D50"/>
    <mergeCell ref="E50:F50"/>
    <mergeCell ref="G50:H50"/>
    <mergeCell ref="I50:J50"/>
  </mergeCells>
  <conditionalFormatting sqref="H51:H87">
    <cfRule type="colorScale" priority="14">
      <colorScale>
        <cfvo type="min" val="0"/>
        <cfvo type="percentile" val="50"/>
        <cfvo type="max" val="0"/>
        <color rgb="FF92D050"/>
        <color rgb="FFFFEB84"/>
        <color theme="9"/>
      </colorScale>
    </cfRule>
  </conditionalFormatting>
  <conditionalFormatting sqref="D52 F52 H5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:D57 F53:F57 H53:H57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L86">
    <cfRule type="top10" dxfId="11" priority="3" rank="5"/>
  </conditionalFormatting>
  <conditionalFormatting sqref="M51:M86">
    <cfRule type="top10" dxfId="10" priority="2" rank="3"/>
  </conditionalFormatting>
  <conditionalFormatting sqref="N51:N86">
    <cfRule type="top10" dxfId="9" priority="1" rank="5"/>
  </conditionalFormatting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7">
    <tabColor theme="3" tint="0.39997558519241921"/>
  </sheetPr>
  <dimension ref="A1:R93"/>
  <sheetViews>
    <sheetView zoomScale="80" zoomScaleNormal="80" workbookViewId="0"/>
  </sheetViews>
  <sheetFormatPr baseColWidth="10" defaultRowHeight="15"/>
  <cols>
    <col min="2" max="2" width="24.140625" bestFit="1" customWidth="1"/>
    <col min="3" max="3" width="18.42578125" bestFit="1" customWidth="1"/>
    <col min="4" max="6" width="14.7109375" customWidth="1"/>
    <col min="7" max="7" width="14" customWidth="1"/>
    <col min="8" max="8" width="12.85546875" customWidth="1"/>
    <col min="9" max="9" width="14.5703125" customWidth="1"/>
    <col min="10" max="10" width="13.5703125" customWidth="1"/>
    <col min="11" max="11" width="12.85546875" customWidth="1"/>
    <col min="12" max="12" width="16.7109375" bestFit="1" customWidth="1"/>
    <col min="13" max="13" width="16.42578125" customWidth="1"/>
    <col min="14" max="14" width="10.85546875" customWidth="1"/>
    <col min="16" max="18" width="15.140625" customWidth="1"/>
  </cols>
  <sheetData>
    <row r="1" spans="1:10" ht="15.75" thickBot="1">
      <c r="A1" s="14" t="s">
        <v>58</v>
      </c>
    </row>
    <row r="3" spans="1:10">
      <c r="B3" s="19"/>
      <c r="C3" s="319" t="s">
        <v>82</v>
      </c>
      <c r="D3" s="319"/>
      <c r="E3" s="82" t="s">
        <v>65</v>
      </c>
      <c r="G3" s="31" t="s">
        <v>126</v>
      </c>
    </row>
    <row r="4" spans="1:10">
      <c r="B4" s="1" t="s">
        <v>8</v>
      </c>
      <c r="C4" s="199">
        <f>'Données règlements européens'!AF6</f>
        <v>105453095.88000001</v>
      </c>
      <c r="D4" s="50">
        <f>C4/$C$40</f>
        <v>0.12486249562141441</v>
      </c>
      <c r="E4" s="49">
        <f>RANK(C4,$C$4:$C$39)</f>
        <v>4</v>
      </c>
    </row>
    <row r="5" spans="1:10">
      <c r="B5" s="1" t="s">
        <v>95</v>
      </c>
      <c r="C5" s="199">
        <f>'Données règlements européens'!AF7</f>
        <v>0</v>
      </c>
      <c r="D5" s="50">
        <f t="shared" ref="D5:D39" si="0">C5/$C$40</f>
        <v>0</v>
      </c>
      <c r="E5" s="49">
        <f t="shared" ref="E5:E39" si="1">RANK(C5,$C$4:$C$39)</f>
        <v>32</v>
      </c>
    </row>
    <row r="6" spans="1:10">
      <c r="B6" s="1" t="s">
        <v>9</v>
      </c>
      <c r="C6" s="199">
        <f>'Données règlements européens'!AF8</f>
        <v>1445990.53</v>
      </c>
      <c r="D6" s="50">
        <f t="shared" si="0"/>
        <v>1.712135473255218E-3</v>
      </c>
      <c r="E6" s="49">
        <f t="shared" si="1"/>
        <v>19</v>
      </c>
      <c r="H6" t="str">
        <f>"Dépenses = "&amp;TEXT(C40/1000000,"### ###,##")&amp;" Millions d'€"</f>
        <v>Dépenses = 844,55 Millions d'€</v>
      </c>
    </row>
    <row r="7" spans="1:10">
      <c r="B7" s="1" t="s">
        <v>19</v>
      </c>
      <c r="C7" s="199">
        <f>'Données règlements européens'!AF9</f>
        <v>160165931.44</v>
      </c>
      <c r="D7" s="50">
        <f t="shared" si="0"/>
        <v>0.18964562155561779</v>
      </c>
      <c r="E7" s="49">
        <f t="shared" si="1"/>
        <v>3</v>
      </c>
    </row>
    <row r="8" spans="1:10">
      <c r="B8" s="1" t="s">
        <v>98</v>
      </c>
      <c r="C8" s="199">
        <f>'Données règlements européens'!AF10</f>
        <v>0</v>
      </c>
      <c r="D8" s="50">
        <f t="shared" si="0"/>
        <v>0</v>
      </c>
      <c r="E8" s="49">
        <f t="shared" si="1"/>
        <v>32</v>
      </c>
      <c r="J8" s="22"/>
    </row>
    <row r="9" spans="1:10">
      <c r="B9" s="1" t="s">
        <v>10</v>
      </c>
      <c r="C9" s="199">
        <f>'Données règlements européens'!AF11</f>
        <v>4991381.21</v>
      </c>
      <c r="D9" s="50">
        <f t="shared" si="0"/>
        <v>5.9100807736137476E-3</v>
      </c>
      <c r="E9" s="49">
        <f t="shared" si="1"/>
        <v>14</v>
      </c>
      <c r="J9" s="22"/>
    </row>
    <row r="10" spans="1:10">
      <c r="B10" s="1" t="s">
        <v>29</v>
      </c>
      <c r="C10" s="199">
        <f>'Données règlements européens'!AF12</f>
        <v>1447687.1500000001</v>
      </c>
      <c r="D10" s="50">
        <f t="shared" si="0"/>
        <v>1.7141443683526393E-3</v>
      </c>
      <c r="E10" s="49">
        <f t="shared" si="1"/>
        <v>18</v>
      </c>
    </row>
    <row r="11" spans="1:10">
      <c r="B11" s="1" t="s">
        <v>42</v>
      </c>
      <c r="C11" s="199">
        <f>'Données règlements européens'!AF13</f>
        <v>360088.79999999993</v>
      </c>
      <c r="D11" s="50">
        <f t="shared" si="0"/>
        <v>4.263657300728681E-4</v>
      </c>
      <c r="E11" s="49">
        <f t="shared" si="1"/>
        <v>28</v>
      </c>
    </row>
    <row r="12" spans="1:10">
      <c r="B12" s="1" t="s">
        <v>0</v>
      </c>
      <c r="C12" s="199">
        <f>'Données règlements européens'!AF14</f>
        <v>5577882.71</v>
      </c>
      <c r="D12" s="50">
        <f t="shared" si="0"/>
        <v>6.6045320873906058E-3</v>
      </c>
      <c r="E12" s="49">
        <f t="shared" si="1"/>
        <v>13</v>
      </c>
    </row>
    <row r="13" spans="1:10">
      <c r="B13" s="1" t="s">
        <v>21</v>
      </c>
      <c r="C13" s="199">
        <f>'Données règlements européens'!AF15</f>
        <v>18505609.529999997</v>
      </c>
      <c r="D13" s="50">
        <f t="shared" si="0"/>
        <v>2.191169988542236E-2</v>
      </c>
      <c r="E13" s="49">
        <f t="shared" si="1"/>
        <v>9</v>
      </c>
    </row>
    <row r="14" spans="1:10">
      <c r="B14" s="1" t="s">
        <v>5</v>
      </c>
      <c r="C14" s="199">
        <f>'Données règlements européens'!AF16</f>
        <v>383393.58999999997</v>
      </c>
      <c r="D14" s="50">
        <f t="shared" si="0"/>
        <v>4.5395993406517469E-4</v>
      </c>
      <c r="E14" s="49">
        <f t="shared" si="1"/>
        <v>27</v>
      </c>
    </row>
    <row r="15" spans="1:10">
      <c r="B15" s="1" t="s">
        <v>4</v>
      </c>
      <c r="C15" s="199">
        <f>'Données règlements européens'!AF17</f>
        <v>1272077.42</v>
      </c>
      <c r="D15" s="50">
        <f t="shared" si="0"/>
        <v>1.5062124061828929E-3</v>
      </c>
      <c r="E15" s="49">
        <f t="shared" si="1"/>
        <v>21</v>
      </c>
    </row>
    <row r="16" spans="1:10">
      <c r="B16" s="1" t="s">
        <v>17</v>
      </c>
      <c r="C16" s="199">
        <f>'Données règlements européens'!AF18</f>
        <v>2970615.3</v>
      </c>
      <c r="D16" s="50">
        <f t="shared" si="0"/>
        <v>3.5173783831936238E-3</v>
      </c>
      <c r="E16" s="49">
        <f t="shared" si="1"/>
        <v>15</v>
      </c>
    </row>
    <row r="17" spans="2:11">
      <c r="B17" s="1" t="s">
        <v>11</v>
      </c>
      <c r="C17" s="199">
        <f>'Données règlements européens'!AF19</f>
        <v>1101279.01</v>
      </c>
      <c r="D17" s="50">
        <f t="shared" si="0"/>
        <v>1.303977322017723E-3</v>
      </c>
      <c r="E17" s="49">
        <f t="shared" si="1"/>
        <v>22</v>
      </c>
    </row>
    <row r="18" spans="2:11">
      <c r="B18" s="1" t="s">
        <v>23</v>
      </c>
      <c r="C18" s="199">
        <f>'Données règlements européens'!AF20</f>
        <v>2498795.3099999996</v>
      </c>
      <c r="D18" s="50">
        <f t="shared" si="0"/>
        <v>2.9587165350624866E-3</v>
      </c>
      <c r="E18" s="49">
        <f t="shared" si="1"/>
        <v>16</v>
      </c>
    </row>
    <row r="19" spans="2:11">
      <c r="B19" s="1" t="s">
        <v>1</v>
      </c>
      <c r="C19" s="199">
        <f>'Données règlements européens'!AF21</f>
        <v>54438.96</v>
      </c>
      <c r="D19" s="50">
        <f t="shared" si="0"/>
        <v>6.4458841610201884E-5</v>
      </c>
      <c r="E19" s="49">
        <f t="shared" si="1"/>
        <v>30</v>
      </c>
    </row>
    <row r="20" spans="2:11">
      <c r="B20" s="1" t="s">
        <v>18</v>
      </c>
      <c r="C20" s="199">
        <f>'Données règlements européens'!AF22</f>
        <v>43484418.450000003</v>
      </c>
      <c r="D20" s="50">
        <f t="shared" si="0"/>
        <v>5.1488038004037749E-2</v>
      </c>
      <c r="E20" s="49">
        <f t="shared" si="1"/>
        <v>5</v>
      </c>
      <c r="G20" s="29" t="s">
        <v>133</v>
      </c>
    </row>
    <row r="21" spans="2:11">
      <c r="B21" s="1" t="s">
        <v>6</v>
      </c>
      <c r="C21" s="199">
        <f>'Données règlements européens'!AF23</f>
        <v>438677.00999999995</v>
      </c>
      <c r="D21" s="50">
        <f t="shared" si="0"/>
        <v>5.1941866460393342E-4</v>
      </c>
      <c r="E21" s="49">
        <f t="shared" si="1"/>
        <v>26</v>
      </c>
      <c r="G21" s="18"/>
      <c r="H21" s="18"/>
      <c r="I21" s="18"/>
      <c r="J21" s="18"/>
      <c r="K21" s="18"/>
    </row>
    <row r="22" spans="2:11">
      <c r="B22" s="1" t="s">
        <v>12</v>
      </c>
      <c r="C22" s="199">
        <f>'Données règlements européens'!AF24</f>
        <v>16300.49</v>
      </c>
      <c r="D22" s="50">
        <f t="shared" si="0"/>
        <v>1.9300712267072696E-5</v>
      </c>
      <c r="E22" s="49">
        <f t="shared" si="1"/>
        <v>31</v>
      </c>
      <c r="G22" s="18"/>
      <c r="H22" s="18"/>
      <c r="I22" s="18"/>
      <c r="J22" s="18"/>
      <c r="K22" s="18"/>
    </row>
    <row r="23" spans="2:11">
      <c r="B23" s="1" t="s">
        <v>7</v>
      </c>
      <c r="C23" s="199">
        <f>'Données règlements européens'!AF25</f>
        <v>905962.37000000011</v>
      </c>
      <c r="D23" s="50">
        <f t="shared" si="0"/>
        <v>1.0727112515123934E-3</v>
      </c>
      <c r="E23" s="49">
        <f t="shared" si="1"/>
        <v>23</v>
      </c>
      <c r="G23" s="37"/>
      <c r="H23" s="37"/>
      <c r="I23" s="37"/>
      <c r="J23" s="37"/>
      <c r="K23" s="37"/>
    </row>
    <row r="24" spans="2:11">
      <c r="B24" s="1" t="s">
        <v>24</v>
      </c>
      <c r="C24" s="199">
        <f>'Données règlements européens'!AF26</f>
        <v>182727839.78</v>
      </c>
      <c r="D24" s="50">
        <f t="shared" si="0"/>
        <v>0.21636021118245771</v>
      </c>
      <c r="E24" s="49">
        <f t="shared" si="1"/>
        <v>2</v>
      </c>
    </row>
    <row r="25" spans="2:11">
      <c r="B25" s="1" t="s">
        <v>99</v>
      </c>
      <c r="C25" s="199">
        <f>'Données règlements européens'!AF27</f>
        <v>0</v>
      </c>
      <c r="D25" s="50">
        <f t="shared" si="0"/>
        <v>0</v>
      </c>
      <c r="E25" s="49">
        <f t="shared" si="1"/>
        <v>32</v>
      </c>
    </row>
    <row r="26" spans="2:11">
      <c r="B26" s="1" t="s">
        <v>27</v>
      </c>
      <c r="C26" s="199">
        <f>'Données règlements européens'!AF28</f>
        <v>110179.87</v>
      </c>
      <c r="D26" s="50">
        <f t="shared" si="0"/>
        <v>1.3045926646950337E-4</v>
      </c>
      <c r="E26" s="49">
        <f t="shared" si="1"/>
        <v>29</v>
      </c>
    </row>
    <row r="27" spans="2:11">
      <c r="B27" s="1" t="s">
        <v>2</v>
      </c>
      <c r="C27" s="199">
        <f>'Données règlements européens'!AF29</f>
        <v>2489414.17</v>
      </c>
      <c r="D27" s="50">
        <f t="shared" si="0"/>
        <v>2.9476087288629726E-3</v>
      </c>
      <c r="E27" s="49">
        <f t="shared" si="1"/>
        <v>17</v>
      </c>
    </row>
    <row r="28" spans="2:11">
      <c r="B28" s="1" t="s">
        <v>22</v>
      </c>
      <c r="C28" s="199">
        <f>'Données règlements européens'!AF30</f>
        <v>38091425.309999995</v>
      </c>
      <c r="D28" s="50">
        <f t="shared" si="0"/>
        <v>4.5102425740023787E-2</v>
      </c>
      <c r="E28" s="49">
        <f>RANK(C28,$C$4:$C$39)</f>
        <v>6</v>
      </c>
    </row>
    <row r="29" spans="2:11">
      <c r="B29" s="1" t="s">
        <v>97</v>
      </c>
      <c r="C29" s="199">
        <f>'Données règlements européens'!AF31</f>
        <v>0</v>
      </c>
      <c r="D29" s="50">
        <f t="shared" si="0"/>
        <v>0</v>
      </c>
      <c r="E29" s="49">
        <f t="shared" si="1"/>
        <v>32</v>
      </c>
    </row>
    <row r="30" spans="2:11">
      <c r="B30" s="1" t="s">
        <v>16</v>
      </c>
      <c r="C30" s="199">
        <f>'Données règlements européens'!AF32</f>
        <v>7730949.830000001</v>
      </c>
      <c r="D30" s="50">
        <f t="shared" si="0"/>
        <v>9.1538866757995985E-3</v>
      </c>
      <c r="E30" s="49">
        <f t="shared" si="1"/>
        <v>11</v>
      </c>
    </row>
    <row r="31" spans="2:11">
      <c r="B31" s="1" t="s">
        <v>25</v>
      </c>
      <c r="C31" s="199">
        <f>'Données règlements européens'!AF33</f>
        <v>20225837.73</v>
      </c>
      <c r="D31" s="50">
        <f t="shared" si="0"/>
        <v>2.3948548441625545E-2</v>
      </c>
      <c r="E31" s="49">
        <f t="shared" si="1"/>
        <v>8</v>
      </c>
    </row>
    <row r="32" spans="2:11">
      <c r="B32" s="1" t="s">
        <v>14</v>
      </c>
      <c r="C32" s="199">
        <f>'Données règlements européens'!AF34</f>
        <v>1433940.46</v>
      </c>
      <c r="D32" s="50">
        <f t="shared" si="0"/>
        <v>1.6978675013189092E-3</v>
      </c>
      <c r="E32" s="49">
        <f t="shared" si="1"/>
        <v>20</v>
      </c>
    </row>
    <row r="33" spans="2:5">
      <c r="B33" s="1" t="s">
        <v>13</v>
      </c>
      <c r="C33" s="199">
        <f>'Données règlements européens'!AF35</f>
        <v>11859116.610000001</v>
      </c>
      <c r="D33" s="50">
        <f t="shared" si="0"/>
        <v>1.4041872203306317E-2</v>
      </c>
      <c r="E33" s="49">
        <f t="shared" si="1"/>
        <v>10</v>
      </c>
    </row>
    <row r="34" spans="2:5">
      <c r="B34" s="1" t="s">
        <v>20</v>
      </c>
      <c r="C34" s="199">
        <f>'Données règlements européens'!AF36</f>
        <v>194519734</v>
      </c>
      <c r="D34" s="50">
        <f t="shared" si="0"/>
        <v>0.23032248823204196</v>
      </c>
      <c r="E34" s="49">
        <f t="shared" si="1"/>
        <v>1</v>
      </c>
    </row>
    <row r="35" spans="2:5">
      <c r="B35" s="1" t="s">
        <v>15</v>
      </c>
      <c r="C35" s="199">
        <f>'Données règlements européens'!AF37</f>
        <v>781514.39</v>
      </c>
      <c r="D35" s="50">
        <f t="shared" si="0"/>
        <v>9.2535772691292322E-4</v>
      </c>
      <c r="E35" s="49">
        <f t="shared" si="1"/>
        <v>24</v>
      </c>
    </row>
    <row r="36" spans="2:5">
      <c r="B36" s="1" t="s">
        <v>28</v>
      </c>
      <c r="C36" s="199">
        <f>'Données règlements européens'!AF38</f>
        <v>647000.79999999993</v>
      </c>
      <c r="D36" s="50">
        <f t="shared" si="0"/>
        <v>7.6608594449405177E-4</v>
      </c>
      <c r="E36" s="49">
        <f t="shared" si="1"/>
        <v>25</v>
      </c>
    </row>
    <row r="37" spans="2:5">
      <c r="B37" s="1" t="s">
        <v>3</v>
      </c>
      <c r="C37" s="199">
        <f>'Données règlements européens'!AF39</f>
        <v>6884033.6300000008</v>
      </c>
      <c r="D37" s="50">
        <f t="shared" si="0"/>
        <v>8.151089465990408E-3</v>
      </c>
      <c r="E37" s="49">
        <f t="shared" si="1"/>
        <v>12</v>
      </c>
    </row>
    <row r="38" spans="2:5">
      <c r="B38" s="1" t="s">
        <v>26</v>
      </c>
      <c r="C38" s="199">
        <f>'Données règlements européens'!AF40</f>
        <v>25979194.07</v>
      </c>
      <c r="D38" s="50">
        <f t="shared" si="0"/>
        <v>3.0760851341003322E-2</v>
      </c>
      <c r="E38" s="49">
        <f t="shared" si="1"/>
        <v>7</v>
      </c>
    </row>
    <row r="39" spans="2:5">
      <c r="B39" s="1" t="s">
        <v>96</v>
      </c>
      <c r="C39" s="199">
        <f>'Données règlements européens'!AF41</f>
        <v>0</v>
      </c>
      <c r="D39" s="50">
        <f t="shared" si="0"/>
        <v>0</v>
      </c>
      <c r="E39" s="49">
        <f t="shared" si="1"/>
        <v>32</v>
      </c>
    </row>
    <row r="40" spans="2:5">
      <c r="B40" s="135" t="s">
        <v>36</v>
      </c>
      <c r="C40" s="200">
        <f>SUM(C4:C39)</f>
        <v>844553805.81000006</v>
      </c>
      <c r="D40" s="136">
        <f>SUM(D4:D39)</f>
        <v>0.99999999999999989</v>
      </c>
      <c r="E40" s="137"/>
    </row>
    <row r="42" spans="2:5">
      <c r="B42" s="1" t="str">
        <f>INDEX(Europe_D,MATCH(1,Rang_Europe_D,0),1)</f>
        <v>Royaume-Uni</v>
      </c>
      <c r="C42" s="201">
        <f>INDEX(Europe_D,MATCH(1,Rang_Europe_D,0),2)</f>
        <v>194519734</v>
      </c>
      <c r="D42" s="226"/>
    </row>
    <row r="43" spans="2:5">
      <c r="B43" s="1" t="str">
        <f>INDEX(Europe_D,MATCH(2,Rang_Europe_D,0),1)</f>
        <v>Luxembourg</v>
      </c>
      <c r="C43" s="201">
        <f>INDEX(Europe_D,MATCH(2,Rang_Europe_D,0),2)</f>
        <v>182727839.78</v>
      </c>
      <c r="D43" s="226"/>
    </row>
    <row r="44" spans="2:5">
      <c r="B44" s="1" t="str">
        <f>INDEX(Europe_D,MATCH(3,Rang_Europe_D,0),1)</f>
        <v>Belgique</v>
      </c>
      <c r="C44" s="201">
        <f>INDEX(Europe_D,MATCH(3,Rang_Europe_D,0),2)</f>
        <v>160165931.44</v>
      </c>
      <c r="D44" s="226"/>
    </row>
    <row r="45" spans="2:5">
      <c r="B45" s="1" t="str">
        <f>INDEX(Europe_D,MATCH(4,Rang_Europe_D,0),1)</f>
        <v>Allemagne</v>
      </c>
      <c r="C45" s="201">
        <f>INDEX(Europe_D,MATCH(4,Rang_Europe_D,0),2)</f>
        <v>105453095.88000001</v>
      </c>
      <c r="D45" s="226"/>
    </row>
    <row r="46" spans="2:5">
      <c r="B46" s="1" t="str">
        <f>INDEX(Europe_D,MATCH(5,Rang_Europe_D,0),1)</f>
        <v>Italie</v>
      </c>
      <c r="C46" s="201">
        <f>INDEX(Europe_D,MATCH(5,Rang_Europe_D,0),2)</f>
        <v>43484418.450000003</v>
      </c>
      <c r="D46" s="226"/>
    </row>
    <row r="47" spans="2:5">
      <c r="B47" s="1" t="s">
        <v>84</v>
      </c>
      <c r="C47" s="201">
        <f>C40-C42-C43-C44-C45-C46</f>
        <v>158202786.26000011</v>
      </c>
    </row>
    <row r="48" spans="2:5">
      <c r="B48" s="117"/>
      <c r="C48" s="138"/>
    </row>
    <row r="50" spans="2:18">
      <c r="D50" s="37"/>
    </row>
    <row r="52" spans="2:18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8">
      <c r="B53" s="19"/>
      <c r="C53" s="322" t="s">
        <v>85</v>
      </c>
      <c r="D53" s="323"/>
      <c r="E53" s="324"/>
      <c r="F53" s="322" t="s">
        <v>80</v>
      </c>
      <c r="G53" s="323"/>
      <c r="H53" s="324"/>
      <c r="I53" s="322" t="s">
        <v>81</v>
      </c>
      <c r="J53" s="323"/>
      <c r="K53" s="324"/>
      <c r="L53" s="322" t="s">
        <v>82</v>
      </c>
      <c r="M53" s="323"/>
      <c r="N53" s="324"/>
      <c r="O53" s="19"/>
      <c r="P53" s="320" t="str">
        <f>C53</f>
        <v>Soins nécessaires</v>
      </c>
      <c r="Q53" s="320" t="str">
        <f>F53</f>
        <v>Soins programmés</v>
      </c>
      <c r="R53" s="320" t="str">
        <f>I53</f>
        <v>Soins liés à la résidence</v>
      </c>
    </row>
    <row r="54" spans="2:18">
      <c r="B54" s="19"/>
      <c r="C54" s="203" t="s">
        <v>92</v>
      </c>
      <c r="D54" s="195" t="s">
        <v>155</v>
      </c>
      <c r="E54" s="204" t="s">
        <v>156</v>
      </c>
      <c r="F54" s="203" t="s">
        <v>92</v>
      </c>
      <c r="G54" s="195" t="s">
        <v>155</v>
      </c>
      <c r="H54" s="204" t="s">
        <v>156</v>
      </c>
      <c r="I54" s="203" t="s">
        <v>92</v>
      </c>
      <c r="J54" s="195" t="s">
        <v>155</v>
      </c>
      <c r="K54" s="204" t="s">
        <v>156</v>
      </c>
      <c r="L54" s="203" t="s">
        <v>92</v>
      </c>
      <c r="M54" s="195" t="s">
        <v>155</v>
      </c>
      <c r="N54" s="204" t="s">
        <v>156</v>
      </c>
      <c r="O54" s="19"/>
      <c r="P54" s="321"/>
      <c r="Q54" s="321"/>
      <c r="R54" s="321"/>
    </row>
    <row r="55" spans="2:18">
      <c r="B55" s="1" t="s">
        <v>8</v>
      </c>
      <c r="C55" s="207">
        <f>'Données règlements européens'!D6</f>
        <v>14506879.609999999</v>
      </c>
      <c r="D55" s="180">
        <f>'Données règlements européens'!$AD6*E55</f>
        <v>0</v>
      </c>
      <c r="E55" s="50">
        <f>IFERROR(C55/$L55,0)</f>
        <v>0.13756712867404153</v>
      </c>
      <c r="F55" s="207">
        <f>'Données règlements européens'!K6</f>
        <v>364416.38999999996</v>
      </c>
      <c r="G55" s="180">
        <f>'Données règlements européens'!$AD6*H55</f>
        <v>0</v>
      </c>
      <c r="H55" s="50">
        <f>IFERROR(F55/$L55,0)</f>
        <v>3.4557201660033419E-3</v>
      </c>
      <c r="I55" s="207">
        <f>'Données règlements européens'!R6+'Données règlements européens'!Y6+'Données règlements européens'!AA6+'Données règlements européens'!AC6</f>
        <v>90581799.88000001</v>
      </c>
      <c r="J55" s="180">
        <f>'Données règlements européens'!$AD6*K55</f>
        <v>0</v>
      </c>
      <c r="K55" s="50">
        <f>IFERROR(I55/$L55,0)</f>
        <v>0.8589771511599551</v>
      </c>
      <c r="L55" s="207">
        <f t="shared" ref="L55:L90" si="2">C55+F55+I55</f>
        <v>105453095.88000001</v>
      </c>
      <c r="M55" s="180">
        <f>J55+G55+D55</f>
        <v>0</v>
      </c>
      <c r="N55" s="50">
        <f t="shared" ref="N55:N91" si="3">E55+H55+K55</f>
        <v>1</v>
      </c>
      <c r="O55" s="19"/>
      <c r="P55" s="51">
        <f t="shared" ref="P55:P90" si="4">C55/C$91</f>
        <v>8.7233907697104221E-2</v>
      </c>
      <c r="Q55" s="51">
        <f t="shared" ref="Q55:Q90" si="5">F55/$F$91</f>
        <v>1.6278200935261632E-2</v>
      </c>
      <c r="R55" s="51">
        <f t="shared" ref="R55:R90" si="6">I55/$I$91</f>
        <v>0.13810971824066734</v>
      </c>
    </row>
    <row r="56" spans="2:18">
      <c r="B56" s="1" t="s">
        <v>95</v>
      </c>
      <c r="C56" s="207">
        <f>'Données règlements européens'!D7</f>
        <v>0</v>
      </c>
      <c r="D56" s="180">
        <f>'Données règlements européens'!$AD7*E56</f>
        <v>0</v>
      </c>
      <c r="E56" s="50">
        <f t="shared" ref="E56:E90" si="7">IFERROR(C56/$L56,0)</f>
        <v>0</v>
      </c>
      <c r="F56" s="207">
        <f>'Données règlements européens'!K7</f>
        <v>0</v>
      </c>
      <c r="G56" s="180">
        <f>'Données règlements européens'!$AD7*H56</f>
        <v>0</v>
      </c>
      <c r="H56" s="50">
        <f t="shared" ref="H56:H91" si="8">IFERROR(F56/$L56,0)</f>
        <v>0</v>
      </c>
      <c r="I56" s="207">
        <f>'Données règlements européens'!R7+'Données règlements européens'!Y7+'Données règlements européens'!AA7+'Données règlements européens'!AC7</f>
        <v>0</v>
      </c>
      <c r="J56" s="180">
        <f>'Données règlements européens'!$AD7*K56</f>
        <v>0</v>
      </c>
      <c r="K56" s="50">
        <f t="shared" ref="K56:K90" si="9">IFERROR(I56/$L56,0)</f>
        <v>0</v>
      </c>
      <c r="L56" s="207">
        <f t="shared" si="2"/>
        <v>0</v>
      </c>
      <c r="M56" s="180">
        <f t="shared" ref="M56:M90" si="10">J56+G56+D56</f>
        <v>0</v>
      </c>
      <c r="N56" s="50">
        <f t="shared" si="3"/>
        <v>0</v>
      </c>
      <c r="O56" s="19"/>
      <c r="P56" s="51">
        <f t="shared" si="4"/>
        <v>0</v>
      </c>
      <c r="Q56" s="51">
        <f t="shared" si="5"/>
        <v>0</v>
      </c>
      <c r="R56" s="51">
        <f t="shared" si="6"/>
        <v>0</v>
      </c>
    </row>
    <row r="57" spans="2:18">
      <c r="B57" s="1" t="s">
        <v>9</v>
      </c>
      <c r="C57" s="207">
        <f>'Données règlements européens'!D8</f>
        <v>849618.70000000007</v>
      </c>
      <c r="D57" s="180">
        <f>'Données règlements européens'!$AD8*E57</f>
        <v>0</v>
      </c>
      <c r="E57" s="50">
        <f t="shared" si="7"/>
        <v>0.58756864749314786</v>
      </c>
      <c r="F57" s="207">
        <f>'Données règlements européens'!K8</f>
        <v>7598.869999999999</v>
      </c>
      <c r="G57" s="180">
        <f>'Données règlements européens'!$AD8*H57</f>
        <v>0</v>
      </c>
      <c r="H57" s="50">
        <f t="shared" si="8"/>
        <v>5.255131235195571E-3</v>
      </c>
      <c r="I57" s="207">
        <f>'Données règlements européens'!R8+'Données règlements européens'!Y8+'Données règlements européens'!AA8+'Données règlements européens'!AC8</f>
        <v>588772.96</v>
      </c>
      <c r="J57" s="180">
        <f>'Données règlements européens'!$AD8*K57</f>
        <v>0</v>
      </c>
      <c r="K57" s="50">
        <f t="shared" si="9"/>
        <v>0.40717622127165659</v>
      </c>
      <c r="L57" s="207">
        <f t="shared" si="2"/>
        <v>1445990.53</v>
      </c>
      <c r="M57" s="180">
        <f t="shared" si="10"/>
        <v>0</v>
      </c>
      <c r="N57" s="50">
        <f t="shared" si="3"/>
        <v>1</v>
      </c>
      <c r="O57" s="19"/>
      <c r="P57" s="51">
        <f t="shared" si="4"/>
        <v>5.10899388745487E-3</v>
      </c>
      <c r="Q57" s="51">
        <f t="shared" si="5"/>
        <v>3.3943570085014991E-4</v>
      </c>
      <c r="R57" s="51">
        <f t="shared" si="6"/>
        <v>8.9769984390956762E-4</v>
      </c>
    </row>
    <row r="58" spans="2:18">
      <c r="B58" s="1" t="s">
        <v>19</v>
      </c>
      <c r="C58" s="207">
        <f>'Données règlements européens'!D9</f>
        <v>21297265.899999999</v>
      </c>
      <c r="D58" s="180">
        <f>'Données règlements européens'!$AD9*E58</f>
        <v>1703780.4163113753</v>
      </c>
      <c r="E58" s="50">
        <f t="shared" si="7"/>
        <v>0.13297001246471818</v>
      </c>
      <c r="F58" s="207">
        <f>'Données règlements européens'!K9</f>
        <v>4016098.2600000002</v>
      </c>
      <c r="G58" s="180">
        <f>'Données règlements européens'!$AD9*H58</f>
        <v>321287.69943986996</v>
      </c>
      <c r="H58" s="50">
        <f t="shared" si="8"/>
        <v>2.5074609961635175E-2</v>
      </c>
      <c r="I58" s="207">
        <f>'Données règlements européens'!R9+'Données règlements européens'!Y9+'Données règlements européens'!AA9+'Données règlements européens'!AC9</f>
        <v>134852567.28</v>
      </c>
      <c r="J58" s="180">
        <f>'Données règlements européens'!$AD9*K58</f>
        <v>10788199.964248754</v>
      </c>
      <c r="K58" s="50">
        <f t="shared" si="9"/>
        <v>0.84195537757364669</v>
      </c>
      <c r="L58" s="207">
        <f t="shared" si="2"/>
        <v>160165931.44</v>
      </c>
      <c r="M58" s="180">
        <f t="shared" si="10"/>
        <v>12813268.08</v>
      </c>
      <c r="N58" s="50">
        <f t="shared" si="3"/>
        <v>1</v>
      </c>
      <c r="O58" s="19"/>
      <c r="P58" s="51">
        <f t="shared" si="4"/>
        <v>0.12806639178563398</v>
      </c>
      <c r="Q58" s="51">
        <f t="shared" si="5"/>
        <v>0.17939603224771153</v>
      </c>
      <c r="R58" s="51">
        <f t="shared" si="6"/>
        <v>0.20560918524189778</v>
      </c>
    </row>
    <row r="59" spans="2:18">
      <c r="B59" s="1" t="s">
        <v>98</v>
      </c>
      <c r="C59" s="207">
        <f>'Données règlements européens'!D10</f>
        <v>0</v>
      </c>
      <c r="D59" s="180">
        <f>'Données règlements européens'!$AD10*E59</f>
        <v>0</v>
      </c>
      <c r="E59" s="50">
        <f t="shared" si="7"/>
        <v>0</v>
      </c>
      <c r="F59" s="207">
        <f>'Données règlements européens'!K10</f>
        <v>0</v>
      </c>
      <c r="G59" s="180">
        <f>'Données règlements européens'!$AD10*H59</f>
        <v>0</v>
      </c>
      <c r="H59" s="50">
        <f t="shared" si="8"/>
        <v>0</v>
      </c>
      <c r="I59" s="207">
        <f>'Données règlements européens'!R10+'Données règlements européens'!Y10+'Données règlements européens'!AA10+'Données règlements européens'!AC10</f>
        <v>0</v>
      </c>
      <c r="J59" s="180">
        <f>'Données règlements européens'!$AD10*K59</f>
        <v>0</v>
      </c>
      <c r="K59" s="50">
        <f t="shared" si="9"/>
        <v>0</v>
      </c>
      <c r="L59" s="207">
        <f t="shared" si="2"/>
        <v>0</v>
      </c>
      <c r="M59" s="180">
        <f t="shared" si="10"/>
        <v>0</v>
      </c>
      <c r="N59" s="50">
        <f t="shared" si="3"/>
        <v>0</v>
      </c>
      <c r="O59" s="19"/>
      <c r="P59" s="51">
        <f t="shared" si="4"/>
        <v>0</v>
      </c>
      <c r="Q59" s="51">
        <f t="shared" si="5"/>
        <v>0</v>
      </c>
      <c r="R59" s="51">
        <f t="shared" si="6"/>
        <v>0</v>
      </c>
    </row>
    <row r="60" spans="2:18">
      <c r="B60" s="1" t="s">
        <v>10</v>
      </c>
      <c r="C60" s="207">
        <f>'Données règlements européens'!D11</f>
        <v>1718592.93</v>
      </c>
      <c r="D60" s="180">
        <f>'Données règlements européens'!$AD11*E60</f>
        <v>0</v>
      </c>
      <c r="E60" s="50">
        <f t="shared" si="7"/>
        <v>0.34431209673123725</v>
      </c>
      <c r="F60" s="207">
        <f>'Données règlements européens'!K11</f>
        <v>1181658.54</v>
      </c>
      <c r="G60" s="180">
        <f>'Données règlements européens'!$AD11*H60</f>
        <v>0</v>
      </c>
      <c r="H60" s="50">
        <f t="shared" si="8"/>
        <v>0.23673979010711546</v>
      </c>
      <c r="I60" s="207">
        <f>'Données règlements européens'!R11+'Données règlements européens'!Y11+'Données règlements européens'!AA11+'Données règlements européens'!AC11</f>
        <v>2091129.7400000002</v>
      </c>
      <c r="J60" s="180">
        <f>'Données règlements européens'!$AD11*K60</f>
        <v>0</v>
      </c>
      <c r="K60" s="50">
        <f t="shared" si="9"/>
        <v>0.41894811316164732</v>
      </c>
      <c r="L60" s="207">
        <f t="shared" si="2"/>
        <v>4991381.21</v>
      </c>
      <c r="M60" s="180">
        <f t="shared" si="10"/>
        <v>0</v>
      </c>
      <c r="N60" s="50">
        <f t="shared" si="3"/>
        <v>1</v>
      </c>
      <c r="O60" s="19"/>
      <c r="P60" s="51">
        <f t="shared" si="4"/>
        <v>1.033437796789684E-2</v>
      </c>
      <c r="Q60" s="51">
        <f t="shared" si="5"/>
        <v>5.2783781626803056E-2</v>
      </c>
      <c r="R60" s="51">
        <f t="shared" si="6"/>
        <v>3.1883373876284244E-3</v>
      </c>
    </row>
    <row r="61" spans="2:18">
      <c r="B61" s="1" t="s">
        <v>29</v>
      </c>
      <c r="C61" s="207">
        <f>'Données règlements européens'!D12</f>
        <v>50997.96</v>
      </c>
      <c r="D61" s="180">
        <f>'Données règlements européens'!$AD12*E61</f>
        <v>0</v>
      </c>
      <c r="E61" s="50">
        <f t="shared" si="7"/>
        <v>3.522719670475765E-2</v>
      </c>
      <c r="F61" s="207">
        <f>'Données règlements européens'!K12</f>
        <v>1344941.2500000002</v>
      </c>
      <c r="G61" s="180">
        <f>'Données règlements européens'!$AD12*H61</f>
        <v>0</v>
      </c>
      <c r="H61" s="50">
        <f t="shared" si="8"/>
        <v>0.92902755267255088</v>
      </c>
      <c r="I61" s="207">
        <f>'Données règlements européens'!R12+'Données règlements européens'!Y12+'Données règlements européens'!AA12+'Données règlements européens'!AC12</f>
        <v>51747.94</v>
      </c>
      <c r="J61" s="180">
        <f>'Données règlements européens'!$AD12*K61</f>
        <v>0</v>
      </c>
      <c r="K61" s="50">
        <f t="shared" si="9"/>
        <v>3.5745250622691509E-2</v>
      </c>
      <c r="L61" s="207">
        <f t="shared" si="2"/>
        <v>1447687.1500000001</v>
      </c>
      <c r="M61" s="180">
        <f t="shared" si="10"/>
        <v>0</v>
      </c>
      <c r="N61" s="50">
        <f t="shared" si="3"/>
        <v>1</v>
      </c>
      <c r="O61" s="19"/>
      <c r="P61" s="51">
        <f t="shared" si="4"/>
        <v>3.0666493794530173E-4</v>
      </c>
      <c r="Q61" s="51">
        <f t="shared" si="5"/>
        <v>6.0077495179681556E-2</v>
      </c>
      <c r="R61" s="51">
        <f t="shared" si="6"/>
        <v>7.8899883005227806E-5</v>
      </c>
    </row>
    <row r="62" spans="2:18">
      <c r="B62" s="1" t="s">
        <v>42</v>
      </c>
      <c r="C62" s="207">
        <f>'Données règlements européens'!D13</f>
        <v>219824.11</v>
      </c>
      <c r="D62" s="180">
        <f>'Données règlements européens'!$AD13*E62</f>
        <v>0</v>
      </c>
      <c r="E62" s="50">
        <f t="shared" si="7"/>
        <v>0.61047194469808563</v>
      </c>
      <c r="F62" s="207">
        <f>'Données règlements européens'!K13</f>
        <v>128296.21999999999</v>
      </c>
      <c r="G62" s="180">
        <f>'Données règlements européens'!$AD13*H62</f>
        <v>0</v>
      </c>
      <c r="H62" s="50">
        <f t="shared" si="8"/>
        <v>0.35629050389792744</v>
      </c>
      <c r="I62" s="207">
        <f>'Données règlements européens'!R13+'Données règlements européens'!Y13+'Données règlements européens'!AA13+'Données règlements européens'!AC13</f>
        <v>11968.47</v>
      </c>
      <c r="J62" s="180">
        <f>'Données règlements européens'!$AD13*K62</f>
        <v>0</v>
      </c>
      <c r="K62" s="50">
        <f t="shared" si="9"/>
        <v>3.3237551403987022E-2</v>
      </c>
      <c r="L62" s="207">
        <f t="shared" si="2"/>
        <v>360088.79999999993</v>
      </c>
      <c r="M62" s="180">
        <f t="shared" si="10"/>
        <v>0</v>
      </c>
      <c r="N62" s="50">
        <f t="shared" si="3"/>
        <v>1.0000000000000002</v>
      </c>
      <c r="O62" s="19"/>
      <c r="P62" s="51">
        <f t="shared" si="4"/>
        <v>1.3218636010544575E-3</v>
      </c>
      <c r="Q62" s="51">
        <f t="shared" si="5"/>
        <v>5.7308938502862953E-3</v>
      </c>
      <c r="R62" s="51">
        <f t="shared" si="6"/>
        <v>1.8248279694835752E-5</v>
      </c>
    </row>
    <row r="63" spans="2:18">
      <c r="B63" s="1" t="s">
        <v>0</v>
      </c>
      <c r="C63" s="207">
        <f>'Données règlements européens'!D14</f>
        <v>1711237.8499999999</v>
      </c>
      <c r="D63" s="180">
        <f>'Données règlements européens'!$AD14*E63</f>
        <v>0</v>
      </c>
      <c r="E63" s="50">
        <f t="shared" si="7"/>
        <v>0.30678985897858724</v>
      </c>
      <c r="F63" s="207">
        <f>'Données règlements européens'!K14</f>
        <v>115340.86</v>
      </c>
      <c r="G63" s="180">
        <f>'Données règlements européens'!$AD14*H63</f>
        <v>0</v>
      </c>
      <c r="H63" s="50">
        <f t="shared" si="8"/>
        <v>2.0678251228412797E-2</v>
      </c>
      <c r="I63" s="207">
        <f>'Données règlements européens'!R14+'Données règlements européens'!Y14+'Données règlements européens'!AA14+'Données règlements européens'!AC14</f>
        <v>3751304</v>
      </c>
      <c r="J63" s="180">
        <f>'Données règlements européens'!$AD14*K63</f>
        <v>0</v>
      </c>
      <c r="K63" s="50">
        <f t="shared" si="9"/>
        <v>0.67253188979299994</v>
      </c>
      <c r="L63" s="207">
        <f t="shared" si="2"/>
        <v>5577882.71</v>
      </c>
      <c r="M63" s="180">
        <f t="shared" si="10"/>
        <v>0</v>
      </c>
      <c r="N63" s="50">
        <f t="shared" si="3"/>
        <v>1</v>
      </c>
      <c r="O63" s="19"/>
      <c r="P63" s="51">
        <f t="shared" si="4"/>
        <v>1.02901498232459E-2</v>
      </c>
      <c r="Q63" s="51">
        <f t="shared" si="5"/>
        <v>5.1521878451347399E-3</v>
      </c>
      <c r="R63" s="51">
        <f t="shared" si="6"/>
        <v>5.7195986297627135E-3</v>
      </c>
    </row>
    <row r="64" spans="2:18">
      <c r="B64" s="1" t="s">
        <v>21</v>
      </c>
      <c r="C64" s="207">
        <f>'Données règlements européens'!D15</f>
        <v>9549377.1400000006</v>
      </c>
      <c r="D64" s="180">
        <f>'Données règlements européens'!$AD15*E64</f>
        <v>0</v>
      </c>
      <c r="E64" s="50">
        <f t="shared" si="7"/>
        <v>0.51602607979592441</v>
      </c>
      <c r="F64" s="207">
        <f>'Données règlements européens'!K15</f>
        <v>502789.69</v>
      </c>
      <c r="G64" s="180">
        <f>'Données règlements européens'!$AD15*H64</f>
        <v>0</v>
      </c>
      <c r="H64" s="50">
        <f t="shared" si="8"/>
        <v>2.7169582778935893E-2</v>
      </c>
      <c r="I64" s="207">
        <f>'Données règlements européens'!R15+'Données règlements européens'!Y15+'Données règlements européens'!AA15+'Données règlements européens'!AC15</f>
        <v>8453442.6999999993</v>
      </c>
      <c r="J64" s="180">
        <f>'Données règlements européens'!$AD15*K64</f>
        <v>0</v>
      </c>
      <c r="K64" s="50">
        <f t="shared" si="9"/>
        <v>0.45680433742513959</v>
      </c>
      <c r="L64" s="207">
        <f t="shared" si="2"/>
        <v>18505609.530000001</v>
      </c>
      <c r="M64" s="180">
        <f t="shared" si="10"/>
        <v>0</v>
      </c>
      <c r="N64" s="50">
        <f t="shared" si="3"/>
        <v>0.99999999999999989</v>
      </c>
      <c r="O64" s="19"/>
      <c r="P64" s="51">
        <f t="shared" si="4"/>
        <v>5.7423064531490736E-2</v>
      </c>
      <c r="Q64" s="51">
        <f t="shared" si="5"/>
        <v>2.245923022836022E-2</v>
      </c>
      <c r="R64" s="51">
        <f t="shared" si="6"/>
        <v>1.2888931231299198E-2</v>
      </c>
    </row>
    <row r="65" spans="2:18">
      <c r="B65" s="1" t="s">
        <v>5</v>
      </c>
      <c r="C65" s="207">
        <f>'Données règlements européens'!D16</f>
        <v>196128.32</v>
      </c>
      <c r="D65" s="180">
        <f>'Données règlements européens'!$AD16*E65</f>
        <v>0</v>
      </c>
      <c r="E65" s="50">
        <f t="shared" si="7"/>
        <v>0.51155868307553087</v>
      </c>
      <c r="F65" s="207">
        <f>'Données règlements européens'!K16</f>
        <v>72.209999999999994</v>
      </c>
      <c r="G65" s="180">
        <f>'Données règlements européens'!$AD16*H65</f>
        <v>0</v>
      </c>
      <c r="H65" s="50">
        <f t="shared" si="8"/>
        <v>1.8834430695620133E-4</v>
      </c>
      <c r="I65" s="207">
        <f>'Données règlements européens'!R16+'Données règlements européens'!Y16+'Données règlements européens'!AA16+'Données règlements européens'!AC16</f>
        <v>187193.06</v>
      </c>
      <c r="J65" s="180">
        <f>'Données règlements européens'!$AD16*K65</f>
        <v>0</v>
      </c>
      <c r="K65" s="50">
        <f t="shared" si="9"/>
        <v>0.48825297261751299</v>
      </c>
      <c r="L65" s="207">
        <f t="shared" si="2"/>
        <v>383393.58999999997</v>
      </c>
      <c r="M65" s="180">
        <f t="shared" si="10"/>
        <v>0</v>
      </c>
      <c r="N65" s="50">
        <f t="shared" si="3"/>
        <v>1</v>
      </c>
      <c r="O65" s="19"/>
      <c r="P65" s="51">
        <f t="shared" si="4"/>
        <v>1.1793742157944413E-3</v>
      </c>
      <c r="Q65" s="51">
        <f t="shared" si="5"/>
        <v>3.2255653746398246E-6</v>
      </c>
      <c r="R65" s="51">
        <f t="shared" si="6"/>
        <v>2.8541253107641751E-4</v>
      </c>
    </row>
    <row r="66" spans="2:18">
      <c r="B66" s="1" t="s">
        <v>4</v>
      </c>
      <c r="C66" s="207">
        <f>'Données règlements européens'!D17</f>
        <v>614497.66</v>
      </c>
      <c r="D66" s="180">
        <f>'Données règlements européens'!$AD17*E66</f>
        <v>0</v>
      </c>
      <c r="E66" s="50">
        <f t="shared" si="7"/>
        <v>0.48306624293354727</v>
      </c>
      <c r="F66" s="207">
        <f>'Données règlements européens'!K17</f>
        <v>43738.97</v>
      </c>
      <c r="G66" s="180">
        <f>'Données règlements européens'!$AD17*H66</f>
        <v>0</v>
      </c>
      <c r="H66" s="50">
        <f t="shared" si="8"/>
        <v>3.4383889936510315E-2</v>
      </c>
      <c r="I66" s="207">
        <f>'Données règlements européens'!R17+'Données règlements européens'!Y17+'Données règlements européens'!AA17+'Données règlements européens'!AC17</f>
        <v>613840.79</v>
      </c>
      <c r="J66" s="180">
        <f>'Données règlements européens'!$AD17*K66</f>
        <v>0</v>
      </c>
      <c r="K66" s="50">
        <f t="shared" si="9"/>
        <v>0.48254986712994252</v>
      </c>
      <c r="L66" s="207">
        <f t="shared" si="2"/>
        <v>1272077.42</v>
      </c>
      <c r="M66" s="180">
        <f t="shared" si="10"/>
        <v>0</v>
      </c>
      <c r="N66" s="50">
        <f t="shared" si="3"/>
        <v>1</v>
      </c>
      <c r="O66" s="19"/>
      <c r="P66" s="51">
        <f t="shared" si="4"/>
        <v>3.6951455856554486E-3</v>
      </c>
      <c r="Q66" s="51">
        <f t="shared" si="5"/>
        <v>1.9537862782773863E-3</v>
      </c>
      <c r="R66" s="51">
        <f t="shared" si="6"/>
        <v>9.359206668871575E-4</v>
      </c>
    </row>
    <row r="67" spans="2:18">
      <c r="B67" s="1" t="s">
        <v>17</v>
      </c>
      <c r="C67" s="207">
        <f>'Données règlements européens'!D18</f>
        <v>1125208.1700000002</v>
      </c>
      <c r="D67" s="180">
        <f>'Données règlements européens'!$AD18*E67</f>
        <v>0</v>
      </c>
      <c r="E67" s="50">
        <f t="shared" si="7"/>
        <v>0.37877949729808508</v>
      </c>
      <c r="F67" s="207">
        <f>'Données règlements européens'!K18</f>
        <v>917817.16</v>
      </c>
      <c r="G67" s="180">
        <f>'Données règlements européens'!$AD18*H67</f>
        <v>0</v>
      </c>
      <c r="H67" s="50">
        <f t="shared" si="8"/>
        <v>0.30896533792174302</v>
      </c>
      <c r="I67" s="207">
        <f>'Données règlements européens'!R18+'Données règlements européens'!Y18+'Données règlements européens'!AA18+'Données règlements européens'!AC18</f>
        <v>927589.96999999986</v>
      </c>
      <c r="J67" s="180">
        <f>'Données règlements européens'!$AD18*K67</f>
        <v>0</v>
      </c>
      <c r="K67" s="50">
        <f t="shared" si="9"/>
        <v>0.31225516478017196</v>
      </c>
      <c r="L67" s="207">
        <f t="shared" si="2"/>
        <v>2970615.3</v>
      </c>
      <c r="M67" s="180">
        <f t="shared" si="10"/>
        <v>0</v>
      </c>
      <c r="N67" s="50">
        <f t="shared" si="3"/>
        <v>1</v>
      </c>
      <c r="O67" s="19"/>
      <c r="P67" s="51">
        <f t="shared" si="4"/>
        <v>6.7661901305188787E-3</v>
      </c>
      <c r="Q67" s="51">
        <f t="shared" si="5"/>
        <v>4.0998189330373358E-2</v>
      </c>
      <c r="R67" s="51">
        <f t="shared" si="6"/>
        <v>1.4142928222809015E-3</v>
      </c>
    </row>
    <row r="68" spans="2:18">
      <c r="B68" s="1" t="s">
        <v>11</v>
      </c>
      <c r="C68" s="207">
        <f>'Données règlements européens'!D19</f>
        <v>671007.39</v>
      </c>
      <c r="D68" s="180">
        <f>'Données règlements européens'!$AD19*E68</f>
        <v>0</v>
      </c>
      <c r="E68" s="50">
        <f t="shared" si="7"/>
        <v>0.6092982649328802</v>
      </c>
      <c r="F68" s="207">
        <f>'Données règlements européens'!K19</f>
        <v>113773.53</v>
      </c>
      <c r="G68" s="180">
        <f>'Données règlements européens'!$AD19*H68</f>
        <v>0</v>
      </c>
      <c r="H68" s="50">
        <f t="shared" si="8"/>
        <v>0.10331035910690789</v>
      </c>
      <c r="I68" s="207">
        <f>'Données règlements européens'!R19+'Données règlements européens'!Y19+'Données règlements européens'!AA19+'Données règlements européens'!AC19</f>
        <v>316498.09000000003</v>
      </c>
      <c r="J68" s="180">
        <f>'Données règlements européens'!$AD19*K68</f>
        <v>0</v>
      </c>
      <c r="K68" s="50">
        <f t="shared" si="9"/>
        <v>0.28739137596021197</v>
      </c>
      <c r="L68" s="207">
        <f t="shared" si="2"/>
        <v>1101279.01</v>
      </c>
      <c r="M68" s="180">
        <f t="shared" si="10"/>
        <v>0</v>
      </c>
      <c r="N68" s="50">
        <f t="shared" si="3"/>
        <v>1</v>
      </c>
      <c r="O68" s="19"/>
      <c r="P68" s="51">
        <f t="shared" si="4"/>
        <v>4.0349543318044271E-3</v>
      </c>
      <c r="Q68" s="51">
        <f t="shared" si="5"/>
        <v>5.0821764148808388E-3</v>
      </c>
      <c r="R68" s="51">
        <f t="shared" si="6"/>
        <v>4.82563407787403E-4</v>
      </c>
    </row>
    <row r="69" spans="2:18">
      <c r="B69" s="1" t="s">
        <v>23</v>
      </c>
      <c r="C69" s="207">
        <f>'Données règlements européens'!D20</f>
        <v>1579011.2599999998</v>
      </c>
      <c r="D69" s="180">
        <f>'Données règlements européens'!$AD20*E69</f>
        <v>0</v>
      </c>
      <c r="E69" s="50">
        <f t="shared" si="7"/>
        <v>0.63190900578407116</v>
      </c>
      <c r="F69" s="207">
        <f>'Données règlements européens'!K20</f>
        <v>23090</v>
      </c>
      <c r="G69" s="180">
        <f>'Données règlements européens'!$AD20*H69</f>
        <v>0</v>
      </c>
      <c r="H69" s="50">
        <f t="shared" si="8"/>
        <v>9.2404527524105225E-3</v>
      </c>
      <c r="I69" s="207">
        <f>'Données règlements européens'!R20+'Données règlements européens'!Y20+'Données règlements européens'!AA20+'Données règlements européens'!AC20</f>
        <v>896694.05</v>
      </c>
      <c r="J69" s="180">
        <f>'Données règlements européens'!$AD20*K69</f>
        <v>0</v>
      </c>
      <c r="K69" s="50">
        <f t="shared" si="9"/>
        <v>0.35885054146351836</v>
      </c>
      <c r="L69" s="207">
        <f t="shared" si="2"/>
        <v>2498795.3099999996</v>
      </c>
      <c r="M69" s="180">
        <f t="shared" si="10"/>
        <v>0</v>
      </c>
      <c r="N69" s="50">
        <f t="shared" si="3"/>
        <v>1</v>
      </c>
      <c r="O69" s="19"/>
      <c r="P69" s="51">
        <f t="shared" si="4"/>
        <v>9.4950345084947058E-3</v>
      </c>
      <c r="Q69" s="51">
        <f t="shared" si="5"/>
        <v>1.0314126090629214E-3</v>
      </c>
      <c r="R69" s="51">
        <f t="shared" si="6"/>
        <v>1.3671859331305534E-3</v>
      </c>
    </row>
    <row r="70" spans="2:18">
      <c r="B70" s="1" t="s">
        <v>1</v>
      </c>
      <c r="C70" s="207">
        <f>'Données règlements européens'!D21</f>
        <v>47188.76</v>
      </c>
      <c r="D70" s="180">
        <f>'Données règlements européens'!$AD21*E70</f>
        <v>0</v>
      </c>
      <c r="E70" s="50">
        <f t="shared" si="7"/>
        <v>0.86681964534223288</v>
      </c>
      <c r="F70" s="207">
        <f>'Données règlements européens'!K21</f>
        <v>0</v>
      </c>
      <c r="G70" s="180">
        <f>'Données règlements européens'!$AD21*H70</f>
        <v>0</v>
      </c>
      <c r="H70" s="50">
        <f t="shared" si="8"/>
        <v>0</v>
      </c>
      <c r="I70" s="207">
        <f>'Données règlements européens'!R21+'Données règlements européens'!Y21+'Données règlements européens'!AA21+'Données règlements européens'!AC21</f>
        <v>7250.2</v>
      </c>
      <c r="J70" s="180">
        <f>'Données règlements européens'!$AD21*K70</f>
        <v>0</v>
      </c>
      <c r="K70" s="50">
        <f t="shared" si="9"/>
        <v>0.13318035465776715</v>
      </c>
      <c r="L70" s="207">
        <f t="shared" si="2"/>
        <v>54438.96</v>
      </c>
      <c r="M70" s="180">
        <f t="shared" si="10"/>
        <v>0</v>
      </c>
      <c r="N70" s="50">
        <f t="shared" si="3"/>
        <v>1</v>
      </c>
      <c r="O70" s="19"/>
      <c r="P70" s="51">
        <f t="shared" si="4"/>
        <v>2.8375915736856411E-4</v>
      </c>
      <c r="Q70" s="51">
        <f t="shared" si="5"/>
        <v>0</v>
      </c>
      <c r="R70" s="51">
        <f t="shared" si="6"/>
        <v>1.1054351762881819E-5</v>
      </c>
    </row>
    <row r="71" spans="2:18">
      <c r="B71" s="1" t="s">
        <v>18</v>
      </c>
      <c r="C71" s="207">
        <f>'Données règlements européens'!D22</f>
        <v>22364741.129999999</v>
      </c>
      <c r="D71" s="180">
        <f>'Données règlements européens'!$AD22*E71</f>
        <v>0</v>
      </c>
      <c r="E71" s="50">
        <f t="shared" si="7"/>
        <v>0.51431620629158947</v>
      </c>
      <c r="F71" s="207">
        <f>'Données règlements européens'!K22</f>
        <v>4954092.8599999994</v>
      </c>
      <c r="G71" s="180">
        <f>'Données règlements européens'!$AD22*H71</f>
        <v>0</v>
      </c>
      <c r="H71" s="50">
        <f t="shared" si="8"/>
        <v>0.11392800080093975</v>
      </c>
      <c r="I71" s="207">
        <f>'Données règlements européens'!R22+'Données règlements européens'!Y22+'Données règlements européens'!AA22+'Données règlements européens'!AC22</f>
        <v>16165584.460000001</v>
      </c>
      <c r="J71" s="180">
        <f>'Données règlements européens'!$AD22*K71</f>
        <v>0</v>
      </c>
      <c r="K71" s="50">
        <f t="shared" si="9"/>
        <v>0.37175579290747074</v>
      </c>
      <c r="L71" s="207">
        <f t="shared" si="2"/>
        <v>43484418.450000003</v>
      </c>
      <c r="M71" s="180">
        <f t="shared" si="10"/>
        <v>0</v>
      </c>
      <c r="N71" s="50">
        <f t="shared" si="3"/>
        <v>1</v>
      </c>
      <c r="O71" s="19"/>
      <c r="P71" s="51">
        <f t="shared" si="4"/>
        <v>0.13448541766757313</v>
      </c>
      <c r="Q71" s="51">
        <f t="shared" si="5"/>
        <v>0.22129553236347294</v>
      </c>
      <c r="R71" s="51">
        <f t="shared" si="6"/>
        <v>2.4647603800366329E-2</v>
      </c>
    </row>
    <row r="72" spans="2:18">
      <c r="B72" s="1" t="s">
        <v>6</v>
      </c>
      <c r="C72" s="207">
        <f>'Données règlements européens'!D23</f>
        <v>371262.71999999997</v>
      </c>
      <c r="D72" s="180">
        <f>'Données règlements européens'!$AD23*E72</f>
        <v>0</v>
      </c>
      <c r="E72" s="50">
        <f t="shared" si="7"/>
        <v>0.8463236311380895</v>
      </c>
      <c r="F72" s="207">
        <f>'Données règlements européens'!K23</f>
        <v>0</v>
      </c>
      <c r="G72" s="180">
        <f>'Données règlements européens'!$AD23*H72</f>
        <v>0</v>
      </c>
      <c r="H72" s="50">
        <f t="shared" si="8"/>
        <v>0</v>
      </c>
      <c r="I72" s="207">
        <f>'Données règlements européens'!R23+'Données règlements européens'!Y23+'Données règlements européens'!AA23+'Données règlements européens'!AC23</f>
        <v>67414.289999999994</v>
      </c>
      <c r="J72" s="180">
        <f>'Données règlements européens'!$AD23*K72</f>
        <v>0</v>
      </c>
      <c r="K72" s="50">
        <f t="shared" si="9"/>
        <v>0.1536763688619105</v>
      </c>
      <c r="L72" s="207">
        <f t="shared" si="2"/>
        <v>438677.00999999995</v>
      </c>
      <c r="M72" s="180">
        <f t="shared" si="10"/>
        <v>0</v>
      </c>
      <c r="N72" s="50">
        <f t="shared" si="3"/>
        <v>1</v>
      </c>
      <c r="O72" s="19"/>
      <c r="P72" s="51">
        <f t="shared" si="4"/>
        <v>2.2325061431909027E-3</v>
      </c>
      <c r="Q72" s="51">
        <f t="shared" si="5"/>
        <v>0</v>
      </c>
      <c r="R72" s="51">
        <f t="shared" si="6"/>
        <v>1.0278630596465287E-4</v>
      </c>
    </row>
    <row r="73" spans="2:18">
      <c r="B73" s="1" t="s">
        <v>12</v>
      </c>
      <c r="C73" s="207">
        <f>'Données règlements européens'!D24</f>
        <v>1198.93</v>
      </c>
      <c r="D73" s="180">
        <f>'Données règlements européens'!$AD24*E73</f>
        <v>0</v>
      </c>
      <c r="E73" s="50">
        <f t="shared" si="7"/>
        <v>7.3551776664382493E-2</v>
      </c>
      <c r="F73" s="207">
        <f>'Données règlements européens'!K24</f>
        <v>0</v>
      </c>
      <c r="G73" s="180">
        <f>'Données règlements européens'!$AD24*H73</f>
        <v>0</v>
      </c>
      <c r="H73" s="50">
        <f t="shared" si="8"/>
        <v>0</v>
      </c>
      <c r="I73" s="207">
        <f>'Données règlements européens'!R24+'Données règlements européens'!Y24+'Données règlements européens'!AA24+'Données règlements européens'!AC24</f>
        <v>15101.56</v>
      </c>
      <c r="J73" s="180">
        <f>'Données règlements européens'!$AD24*K73</f>
        <v>0</v>
      </c>
      <c r="K73" s="50">
        <f t="shared" si="9"/>
        <v>0.92644822333561749</v>
      </c>
      <c r="L73" s="207">
        <f t="shared" si="2"/>
        <v>16300.49</v>
      </c>
      <c r="M73" s="180">
        <f t="shared" si="10"/>
        <v>0</v>
      </c>
      <c r="N73" s="50">
        <f t="shared" si="3"/>
        <v>1</v>
      </c>
      <c r="O73" s="19"/>
      <c r="P73" s="51">
        <f t="shared" si="4"/>
        <v>7.2095000280552527E-6</v>
      </c>
      <c r="Q73" s="51">
        <f t="shared" si="5"/>
        <v>0</v>
      </c>
      <c r="R73" s="51">
        <f t="shared" si="6"/>
        <v>2.3025289841420315E-5</v>
      </c>
    </row>
    <row r="74" spans="2:18">
      <c r="B74" s="1" t="s">
        <v>7</v>
      </c>
      <c r="C74" s="207">
        <f>'Données règlements européens'!D25</f>
        <v>725545.27</v>
      </c>
      <c r="D74" s="180">
        <f>'Données règlements européens'!$AD25*E74</f>
        <v>0</v>
      </c>
      <c r="E74" s="50">
        <f t="shared" si="7"/>
        <v>0.80085585673939186</v>
      </c>
      <c r="F74" s="207">
        <f>'Données règlements européens'!K25</f>
        <v>12929.789999999999</v>
      </c>
      <c r="G74" s="180">
        <f>'Données règlements européens'!$AD25*H74</f>
        <v>0</v>
      </c>
      <c r="H74" s="50">
        <f t="shared" si="8"/>
        <v>1.4271884162252784E-2</v>
      </c>
      <c r="I74" s="207">
        <f>'Données règlements européens'!R25+'Données règlements européens'!Y25+'Données règlements européens'!AA25+'Données règlements européens'!AC25</f>
        <v>167487.31</v>
      </c>
      <c r="J74" s="180">
        <f>'Données règlements européens'!$AD25*K74</f>
        <v>0</v>
      </c>
      <c r="K74" s="50">
        <f t="shared" si="9"/>
        <v>0.18487225909835525</v>
      </c>
      <c r="L74" s="207">
        <f t="shared" si="2"/>
        <v>905962.37000000011</v>
      </c>
      <c r="M74" s="180">
        <f t="shared" si="10"/>
        <v>0</v>
      </c>
      <c r="N74" s="50">
        <f t="shared" si="3"/>
        <v>0.99999999999999989</v>
      </c>
      <c r="O74" s="19"/>
      <c r="P74" s="51">
        <f t="shared" si="4"/>
        <v>4.3629057946838893E-3</v>
      </c>
      <c r="Q74" s="51">
        <f t="shared" si="5"/>
        <v>5.7756381284260151E-4</v>
      </c>
      <c r="R74" s="51">
        <f t="shared" si="6"/>
        <v>2.553672506356837E-4</v>
      </c>
    </row>
    <row r="75" spans="2:18">
      <c r="B75" s="1" t="s">
        <v>24</v>
      </c>
      <c r="C75" s="207">
        <f>'Données règlements européens'!D26</f>
        <v>4416474.47</v>
      </c>
      <c r="D75" s="180">
        <f>'Données règlements européens'!$AD26*E75</f>
        <v>0</v>
      </c>
      <c r="E75" s="50">
        <f t="shared" si="7"/>
        <v>2.4169685775945967E-2</v>
      </c>
      <c r="F75" s="207">
        <f>'Données règlements européens'!K26</f>
        <v>5637036.8699999992</v>
      </c>
      <c r="G75" s="180">
        <f>'Données règlements européens'!$AD26*H75</f>
        <v>0</v>
      </c>
      <c r="H75" s="50">
        <f t="shared" si="8"/>
        <v>3.0849359773457936E-2</v>
      </c>
      <c r="I75" s="207">
        <f>'Données règlements européens'!R26+'Données règlements européens'!Y26+'Données règlements européens'!AA26+'Données règlements européens'!AC26</f>
        <v>172674328.44</v>
      </c>
      <c r="J75" s="180">
        <f>'Données règlements européens'!$AD26*K75</f>
        <v>0</v>
      </c>
      <c r="K75" s="50">
        <f t="shared" si="9"/>
        <v>0.94498095445059604</v>
      </c>
      <c r="L75" s="207">
        <f t="shared" si="2"/>
        <v>182727839.78</v>
      </c>
      <c r="M75" s="180">
        <f t="shared" si="10"/>
        <v>0</v>
      </c>
      <c r="N75" s="50">
        <f t="shared" si="3"/>
        <v>1</v>
      </c>
      <c r="O75" s="19"/>
      <c r="P75" s="51">
        <f t="shared" si="4"/>
        <v>2.6557491109047485E-2</v>
      </c>
      <c r="Q75" s="51">
        <f t="shared" si="5"/>
        <v>0.25180211803683772</v>
      </c>
      <c r="R75" s="51">
        <f t="shared" si="6"/>
        <v>0.26327587749236553</v>
      </c>
    </row>
    <row r="76" spans="2:18">
      <c r="B76" s="1" t="s">
        <v>99</v>
      </c>
      <c r="C76" s="207">
        <f>'Données règlements européens'!D27</f>
        <v>0</v>
      </c>
      <c r="D76" s="180">
        <f>'Données règlements européens'!$AD27*E76</f>
        <v>0</v>
      </c>
      <c r="E76" s="50">
        <f t="shared" si="7"/>
        <v>0</v>
      </c>
      <c r="F76" s="207">
        <f>'Données règlements européens'!K27</f>
        <v>0</v>
      </c>
      <c r="G76" s="180">
        <f>'Données règlements européens'!$AD27*H76</f>
        <v>0</v>
      </c>
      <c r="H76" s="50">
        <f t="shared" si="8"/>
        <v>0</v>
      </c>
      <c r="I76" s="207">
        <f>'Données règlements européens'!R27+'Données règlements européens'!Y27+'Données règlements européens'!AA27+'Données règlements européens'!AC27</f>
        <v>0</v>
      </c>
      <c r="J76" s="180">
        <f>'Données règlements européens'!$AD27*K76</f>
        <v>0</v>
      </c>
      <c r="K76" s="50">
        <f t="shared" si="9"/>
        <v>0</v>
      </c>
      <c r="L76" s="207">
        <f t="shared" si="2"/>
        <v>0</v>
      </c>
      <c r="M76" s="180">
        <f t="shared" si="10"/>
        <v>0</v>
      </c>
      <c r="N76" s="50">
        <f t="shared" si="3"/>
        <v>0</v>
      </c>
      <c r="O76" s="19"/>
      <c r="P76" s="51">
        <f t="shared" si="4"/>
        <v>0</v>
      </c>
      <c r="Q76" s="51">
        <f t="shared" si="5"/>
        <v>0</v>
      </c>
      <c r="R76" s="51">
        <f t="shared" si="6"/>
        <v>0</v>
      </c>
    </row>
    <row r="77" spans="2:18">
      <c r="B77" s="1" t="s">
        <v>27</v>
      </c>
      <c r="C77" s="207">
        <f>'Données règlements européens'!D28</f>
        <v>84199.7</v>
      </c>
      <c r="D77" s="180">
        <f>'Données règlements européens'!$AD28*E77</f>
        <v>0</v>
      </c>
      <c r="E77" s="50">
        <f t="shared" si="7"/>
        <v>0.76420220862486044</v>
      </c>
      <c r="F77" s="207">
        <f>'Données règlements européens'!K28</f>
        <v>0</v>
      </c>
      <c r="G77" s="180">
        <f>'Données règlements européens'!$AD28*H77</f>
        <v>0</v>
      </c>
      <c r="H77" s="50">
        <f t="shared" si="8"/>
        <v>0</v>
      </c>
      <c r="I77" s="207">
        <f>'Données règlements européens'!R28+'Données règlements européens'!Y28+'Données règlements européens'!AA28+'Données règlements européens'!AC28</f>
        <v>25980.170000000002</v>
      </c>
      <c r="J77" s="180">
        <f>'Données règlements européens'!$AD28*K77</f>
        <v>0</v>
      </c>
      <c r="K77" s="50">
        <f t="shared" si="9"/>
        <v>0.23579779137513959</v>
      </c>
      <c r="L77" s="207">
        <f t="shared" si="2"/>
        <v>110179.87</v>
      </c>
      <c r="M77" s="180">
        <f t="shared" si="10"/>
        <v>0</v>
      </c>
      <c r="N77" s="50">
        <f t="shared" si="3"/>
        <v>1</v>
      </c>
      <c r="O77" s="19"/>
      <c r="P77" s="51">
        <f t="shared" si="4"/>
        <v>5.0631624824822453E-4</v>
      </c>
      <c r="Q77" s="51">
        <f t="shared" si="5"/>
        <v>0</v>
      </c>
      <c r="R77" s="51">
        <f t="shared" si="6"/>
        <v>3.9611864229879091E-5</v>
      </c>
    </row>
    <row r="78" spans="2:18">
      <c r="B78" s="1" t="s">
        <v>2</v>
      </c>
      <c r="C78" s="207">
        <f>'Données règlements européens'!D29</f>
        <v>1128321.28</v>
      </c>
      <c r="D78" s="180">
        <f>'Données règlements européens'!$AD29*E78</f>
        <v>0</v>
      </c>
      <c r="E78" s="50">
        <f t="shared" si="7"/>
        <v>0.45324771329633751</v>
      </c>
      <c r="F78" s="207">
        <f>'Données règlements européens'!K29</f>
        <v>0</v>
      </c>
      <c r="G78" s="180">
        <f>'Données règlements européens'!$AD29*H78</f>
        <v>0</v>
      </c>
      <c r="H78" s="50">
        <f t="shared" si="8"/>
        <v>0</v>
      </c>
      <c r="I78" s="207">
        <f>'Données règlements européens'!R29+'Données règlements européens'!Y29+'Données règlements européens'!AA29+'Données règlements européens'!AC29</f>
        <v>1361092.8900000001</v>
      </c>
      <c r="J78" s="180">
        <f>'Données règlements européens'!$AD29*K78</f>
        <v>0</v>
      </c>
      <c r="K78" s="50">
        <f t="shared" si="9"/>
        <v>0.5467522867036626</v>
      </c>
      <c r="L78" s="207">
        <f t="shared" si="2"/>
        <v>2489414.17</v>
      </c>
      <c r="M78" s="180">
        <f t="shared" si="10"/>
        <v>0</v>
      </c>
      <c r="N78" s="50">
        <f t="shared" si="3"/>
        <v>1</v>
      </c>
      <c r="O78" s="19"/>
      <c r="P78" s="51">
        <f t="shared" si="4"/>
        <v>6.7849101280436207E-3</v>
      </c>
      <c r="Q78" s="51">
        <f t="shared" si="5"/>
        <v>0</v>
      </c>
      <c r="R78" s="51">
        <f t="shared" si="6"/>
        <v>2.0752530396426876E-3</v>
      </c>
    </row>
    <row r="79" spans="2:18">
      <c r="B79" s="1" t="s">
        <v>22</v>
      </c>
      <c r="C79" s="207">
        <f>'Données règlements européens'!D30</f>
        <v>11945269.259999998</v>
      </c>
      <c r="D79" s="180">
        <f>'Données règlements européens'!$AD30*E79</f>
        <v>0</v>
      </c>
      <c r="E79" s="50">
        <f t="shared" si="7"/>
        <v>0.31359470439306592</v>
      </c>
      <c r="F79" s="207">
        <f>'Données règlements européens'!K30</f>
        <v>155684.35</v>
      </c>
      <c r="G79" s="180">
        <f>'Données règlements européens'!$AD30*H79</f>
        <v>0</v>
      </c>
      <c r="H79" s="50">
        <f t="shared" si="8"/>
        <v>4.0871232497338133E-3</v>
      </c>
      <c r="I79" s="207">
        <f>'Données règlements européens'!R30+'Données règlements européens'!Y30+'Données règlements européens'!AA30+'Données règlements européens'!AC30</f>
        <v>25990471.699999996</v>
      </c>
      <c r="J79" s="180">
        <f>'Données règlements européens'!$AD30*K79</f>
        <v>0</v>
      </c>
      <c r="K79" s="50">
        <f t="shared" si="9"/>
        <v>0.68231817235720027</v>
      </c>
      <c r="L79" s="207">
        <f t="shared" si="2"/>
        <v>38091425.309999995</v>
      </c>
      <c r="M79" s="180">
        <f t="shared" si="10"/>
        <v>0</v>
      </c>
      <c r="N79" s="50">
        <f t="shared" si="3"/>
        <v>1</v>
      </c>
      <c r="O79" s="19"/>
      <c r="P79" s="51">
        <f t="shared" si="4"/>
        <v>7.1830231177047468E-2</v>
      </c>
      <c r="Q79" s="51">
        <f t="shared" si="5"/>
        <v>6.9543006333375934E-3</v>
      </c>
      <c r="R79" s="51">
        <f t="shared" si="6"/>
        <v>3.962757119183264E-2</v>
      </c>
    </row>
    <row r="80" spans="2:18">
      <c r="B80" s="1" t="s">
        <v>97</v>
      </c>
      <c r="C80" s="207">
        <f>'Données règlements européens'!D31</f>
        <v>0</v>
      </c>
      <c r="D80" s="180">
        <f>'Données règlements européens'!$AD31*E80</f>
        <v>0</v>
      </c>
      <c r="E80" s="50">
        <f t="shared" si="7"/>
        <v>0</v>
      </c>
      <c r="F80" s="207">
        <f>'Données règlements européens'!K31</f>
        <v>0</v>
      </c>
      <c r="G80" s="180">
        <f>'Données règlements européens'!$AD31*H80</f>
        <v>0</v>
      </c>
      <c r="H80" s="50">
        <f t="shared" si="8"/>
        <v>0</v>
      </c>
      <c r="I80" s="207">
        <f>'Données règlements européens'!R31+'Données règlements européens'!Y31+'Données règlements européens'!AA31+'Données règlements européens'!AC31</f>
        <v>0</v>
      </c>
      <c r="J80" s="180">
        <f>'Données règlements européens'!$AD31*K80</f>
        <v>0</v>
      </c>
      <c r="K80" s="50">
        <f t="shared" si="9"/>
        <v>0</v>
      </c>
      <c r="L80" s="207">
        <f t="shared" si="2"/>
        <v>0</v>
      </c>
      <c r="M80" s="180">
        <f t="shared" si="10"/>
        <v>0</v>
      </c>
      <c r="N80" s="50">
        <f t="shared" si="3"/>
        <v>0</v>
      </c>
      <c r="O80" s="19"/>
      <c r="P80" s="51">
        <f t="shared" si="4"/>
        <v>0</v>
      </c>
      <c r="Q80" s="51">
        <f t="shared" si="5"/>
        <v>0</v>
      </c>
      <c r="R80" s="51">
        <f t="shared" si="6"/>
        <v>0</v>
      </c>
    </row>
    <row r="81" spans="2:18">
      <c r="B81" s="1" t="s">
        <v>16</v>
      </c>
      <c r="C81" s="207">
        <f>'Données règlements européens'!D32</f>
        <v>4855425.53</v>
      </c>
      <c r="D81" s="180">
        <f>'Données règlements européens'!$AD32*E81</f>
        <v>0</v>
      </c>
      <c r="E81" s="50">
        <f t="shared" si="7"/>
        <v>0.6280503219874084</v>
      </c>
      <c r="F81" s="207">
        <f>'Données règlements européens'!K32</f>
        <v>54913.369999999995</v>
      </c>
      <c r="G81" s="180">
        <f>'Données règlements européens'!$AD32*H81</f>
        <v>0</v>
      </c>
      <c r="H81" s="50">
        <f t="shared" si="8"/>
        <v>7.1030560548858189E-3</v>
      </c>
      <c r="I81" s="207">
        <f>'Données règlements européens'!R32+'Données règlements européens'!Y32+'Données règlements européens'!AA32+'Données règlements européens'!AC32</f>
        <v>2820610.93</v>
      </c>
      <c r="J81" s="180">
        <f>'Données règlements européens'!$AD32*K81</f>
        <v>0</v>
      </c>
      <c r="K81" s="50">
        <f t="shared" si="9"/>
        <v>0.36484662195770584</v>
      </c>
      <c r="L81" s="207">
        <f t="shared" si="2"/>
        <v>7730949.8300000001</v>
      </c>
      <c r="M81" s="180">
        <f t="shared" si="10"/>
        <v>0</v>
      </c>
      <c r="N81" s="50">
        <f t="shared" si="3"/>
        <v>1</v>
      </c>
      <c r="O81" s="19"/>
      <c r="P81" s="51">
        <f t="shared" si="4"/>
        <v>2.9197026093896381E-2</v>
      </c>
      <c r="Q81" s="51">
        <f t="shared" si="5"/>
        <v>2.4529381647526009E-3</v>
      </c>
      <c r="R81" s="51">
        <f t="shared" si="6"/>
        <v>4.3005745229716744E-3</v>
      </c>
    </row>
    <row r="82" spans="2:18">
      <c r="B82" s="1" t="s">
        <v>25</v>
      </c>
      <c r="C82" s="207">
        <f>'Données règlements européens'!D33</f>
        <v>11216967.779999999</v>
      </c>
      <c r="D82" s="180">
        <f>'Données règlements européens'!$AD33*E82</f>
        <v>0</v>
      </c>
      <c r="E82" s="50">
        <f t="shared" si="7"/>
        <v>0.55458606608726124</v>
      </c>
      <c r="F82" s="207">
        <f>'Données règlements européens'!K33</f>
        <v>186903.58</v>
      </c>
      <c r="G82" s="180">
        <f>'Données règlements européens'!$AD33*H82</f>
        <v>0</v>
      </c>
      <c r="H82" s="50">
        <f t="shared" si="8"/>
        <v>9.2408325674824855E-3</v>
      </c>
      <c r="I82" s="207">
        <f>'Données règlements européens'!R33+'Données règlements européens'!Y33+'Données règlements européens'!AA33+'Données règlements européens'!AC33</f>
        <v>8821966.3699999992</v>
      </c>
      <c r="J82" s="180">
        <f>'Données règlements européens'!$AD33*K82</f>
        <v>0</v>
      </c>
      <c r="K82" s="50">
        <f t="shared" si="9"/>
        <v>0.43617310134525639</v>
      </c>
      <c r="L82" s="207">
        <f t="shared" si="2"/>
        <v>20225837.729999997</v>
      </c>
      <c r="M82" s="180">
        <f t="shared" si="10"/>
        <v>0</v>
      </c>
      <c r="N82" s="50">
        <f t="shared" si="3"/>
        <v>1.0000000000000002</v>
      </c>
      <c r="O82" s="19"/>
      <c r="P82" s="51">
        <f t="shared" si="4"/>
        <v>6.7450751523946223E-2</v>
      </c>
      <c r="Q82" s="51">
        <f t="shared" si="5"/>
        <v>8.3488397181030946E-3</v>
      </c>
      <c r="R82" s="51">
        <f t="shared" si="6"/>
        <v>1.345081783872081E-2</v>
      </c>
    </row>
    <row r="83" spans="2:18">
      <c r="B83" s="1" t="s">
        <v>14</v>
      </c>
      <c r="C83" s="207">
        <f>'Données règlements européens'!D34</f>
        <v>1284424.2899999998</v>
      </c>
      <c r="D83" s="180">
        <f>'Données règlements européens'!$AD34*E83</f>
        <v>0</v>
      </c>
      <c r="E83" s="50">
        <f t="shared" si="7"/>
        <v>0.89573055913353605</v>
      </c>
      <c r="F83" s="207">
        <f>'Données règlements européens'!K34</f>
        <v>21213.599999999999</v>
      </c>
      <c r="G83" s="180">
        <f>'Données règlements européens'!$AD34*H83</f>
        <v>0</v>
      </c>
      <c r="H83" s="50">
        <f t="shared" si="8"/>
        <v>1.4793919686177206E-2</v>
      </c>
      <c r="I83" s="207">
        <f>'Données règlements européens'!R34+'Données règlements européens'!Y34+'Données règlements européens'!AA34+'Données règlements européens'!AC34</f>
        <v>128302.57</v>
      </c>
      <c r="J83" s="180">
        <f>'Données règlements européens'!$AD34*K83</f>
        <v>0</v>
      </c>
      <c r="K83" s="50">
        <f t="shared" si="9"/>
        <v>8.9475521180286677E-2</v>
      </c>
      <c r="L83" s="207">
        <f t="shared" si="2"/>
        <v>1433940.46</v>
      </c>
      <c r="M83" s="180">
        <f t="shared" si="10"/>
        <v>0</v>
      </c>
      <c r="N83" s="50">
        <f t="shared" si="3"/>
        <v>0.99999999999999989</v>
      </c>
      <c r="O83" s="19"/>
      <c r="P83" s="51">
        <f t="shared" si="4"/>
        <v>7.723601006555717E-3</v>
      </c>
      <c r="Q83" s="51">
        <f t="shared" si="5"/>
        <v>9.4759525871014247E-4</v>
      </c>
      <c r="R83" s="51">
        <f t="shared" si="6"/>
        <v>1.9562242984493783E-4</v>
      </c>
    </row>
    <row r="84" spans="2:18">
      <c r="B84" s="1" t="s">
        <v>13</v>
      </c>
      <c r="C84" s="207">
        <f>'Données règlements européens'!D35</f>
        <v>5341747.1100000013</v>
      </c>
      <c r="D84" s="180">
        <f>'Données règlements européens'!$AD35*E84</f>
        <v>0</v>
      </c>
      <c r="E84" s="50">
        <f t="shared" si="7"/>
        <v>0.45043381270875293</v>
      </c>
      <c r="F84" s="207">
        <f>'Données règlements européens'!K35</f>
        <v>1983990.58</v>
      </c>
      <c r="G84" s="180">
        <f>'Données règlements européens'!$AD35*H84</f>
        <v>0</v>
      </c>
      <c r="H84" s="50">
        <f t="shared" si="8"/>
        <v>0.16729665836383067</v>
      </c>
      <c r="I84" s="207">
        <f>'Données règlements européens'!R35+'Données règlements européens'!Y35+'Données règlements européens'!AA35+'Données règlements européens'!AC35</f>
        <v>4533378.92</v>
      </c>
      <c r="J84" s="180">
        <f>'Données règlements européens'!$AD35*K84</f>
        <v>0</v>
      </c>
      <c r="K84" s="50">
        <f t="shared" si="9"/>
        <v>0.38226952892741639</v>
      </c>
      <c r="L84" s="207">
        <f t="shared" si="2"/>
        <v>11859116.610000001</v>
      </c>
      <c r="M84" s="180">
        <f t="shared" si="10"/>
        <v>0</v>
      </c>
      <c r="N84" s="50">
        <f t="shared" si="3"/>
        <v>1</v>
      </c>
      <c r="O84" s="19"/>
      <c r="P84" s="51">
        <f t="shared" si="4"/>
        <v>3.2121413209619469E-2</v>
      </c>
      <c r="Q84" s="51">
        <f t="shared" si="5"/>
        <v>8.862333912836981E-2</v>
      </c>
      <c r="R84" s="51">
        <f t="shared" si="6"/>
        <v>6.912025220837119E-3</v>
      </c>
    </row>
    <row r="85" spans="2:18">
      <c r="B85" s="1" t="s">
        <v>20</v>
      </c>
      <c r="C85" s="207">
        <f>'Données règlements européens'!D36</f>
        <v>36758356.689999998</v>
      </c>
      <c r="D85" s="180">
        <f>'Données règlements européens'!$AD36*E85</f>
        <v>0</v>
      </c>
      <c r="E85" s="50">
        <f t="shared" si="7"/>
        <v>0.18896980750549452</v>
      </c>
      <c r="F85" s="207">
        <f>'Données règlements européens'!K36</f>
        <v>332865.36999999994</v>
      </c>
      <c r="G85" s="180">
        <f>'Données règlements européens'!$AD36*H85</f>
        <v>0</v>
      </c>
      <c r="H85" s="50">
        <f t="shared" si="8"/>
        <v>1.711216456835171E-3</v>
      </c>
      <c r="I85" s="207">
        <f>'Données règlements européens'!R36+'Données règlements européens'!Y36+'Données règlements européens'!AA36+'Données règlements européens'!AC36</f>
        <v>157428511.94</v>
      </c>
      <c r="J85" s="180">
        <f>'Données règlements européens'!$AD36*K85</f>
        <v>0</v>
      </c>
      <c r="K85" s="50">
        <f t="shared" si="9"/>
        <v>0.80931897603767033</v>
      </c>
      <c r="L85" s="207">
        <f t="shared" si="2"/>
        <v>194519734</v>
      </c>
      <c r="M85" s="180">
        <f t="shared" si="10"/>
        <v>0</v>
      </c>
      <c r="N85" s="50">
        <f t="shared" si="3"/>
        <v>1</v>
      </c>
      <c r="O85" s="19"/>
      <c r="P85" s="51">
        <f t="shared" si="4"/>
        <v>0.2210382370845837</v>
      </c>
      <c r="Q85" s="51">
        <f t="shared" si="5"/>
        <v>1.4868841045404705E-2</v>
      </c>
      <c r="R85" s="51">
        <f t="shared" si="6"/>
        <v>0.24003064032603247</v>
      </c>
    </row>
    <row r="86" spans="2:18">
      <c r="B86" s="1" t="s">
        <v>15</v>
      </c>
      <c r="C86" s="207">
        <f>'Données règlements européens'!D37</f>
        <v>684251.51</v>
      </c>
      <c r="D86" s="180">
        <f>'Données règlements européens'!$AD37*E86</f>
        <v>0</v>
      </c>
      <c r="E86" s="50">
        <f t="shared" si="7"/>
        <v>0.87554563134787577</v>
      </c>
      <c r="F86" s="207">
        <f>'Données règlements européens'!K37</f>
        <v>3734</v>
      </c>
      <c r="G86" s="180">
        <f>'Données règlements européens'!$AD37*H86</f>
        <v>0</v>
      </c>
      <c r="H86" s="50">
        <f t="shared" si="8"/>
        <v>4.7779030658667721E-3</v>
      </c>
      <c r="I86" s="207">
        <f>'Données règlements européens'!R37+'Données règlements européens'!Y37+'Données règlements européens'!AA37+'Données règlements européens'!AC37</f>
        <v>93528.87999999999</v>
      </c>
      <c r="J86" s="180">
        <f>'Données règlements européens'!$AD37*K86</f>
        <v>0</v>
      </c>
      <c r="K86" s="50">
        <f t="shared" si="9"/>
        <v>0.11967646558625746</v>
      </c>
      <c r="L86" s="207">
        <f t="shared" si="2"/>
        <v>781514.39</v>
      </c>
      <c r="M86" s="180">
        <f t="shared" si="10"/>
        <v>0</v>
      </c>
      <c r="N86" s="50">
        <f t="shared" si="3"/>
        <v>1</v>
      </c>
      <c r="O86" s="19"/>
      <c r="P86" s="51">
        <f t="shared" si="4"/>
        <v>4.1145949142500802E-3</v>
      </c>
      <c r="Q86" s="51">
        <f t="shared" si="5"/>
        <v>1.6679491910961231E-4</v>
      </c>
      <c r="R86" s="51">
        <f t="shared" si="6"/>
        <v>1.4260311984612314E-4</v>
      </c>
    </row>
    <row r="87" spans="2:18">
      <c r="B87" s="1" t="s">
        <v>28</v>
      </c>
      <c r="C87" s="207">
        <f>'Données règlements européens'!D38</f>
        <v>445791.25</v>
      </c>
      <c r="D87" s="180">
        <f>'Données règlements européens'!$AD38*E87</f>
        <v>0</v>
      </c>
      <c r="E87" s="50">
        <f t="shared" si="7"/>
        <v>0.68901189921248951</v>
      </c>
      <c r="F87" s="207">
        <f>'Données règlements européens'!K38</f>
        <v>178464.15999999997</v>
      </c>
      <c r="G87" s="180">
        <f>'Données règlements européens'!$AD38*H87</f>
        <v>0</v>
      </c>
      <c r="H87" s="50">
        <f t="shared" si="8"/>
        <v>0.27583298196849215</v>
      </c>
      <c r="I87" s="207">
        <f>'Données règlements européens'!R38+'Données règlements européens'!Y38+'Données règlements européens'!AA38+'Données règlements européens'!AC38</f>
        <v>22745.39</v>
      </c>
      <c r="J87" s="180">
        <f>'Données règlements européens'!$AD38*K87</f>
        <v>0</v>
      </c>
      <c r="K87" s="50">
        <f t="shared" si="9"/>
        <v>3.5155118819018463E-2</v>
      </c>
      <c r="L87" s="207">
        <f t="shared" si="2"/>
        <v>647000.79999999993</v>
      </c>
      <c r="M87" s="180">
        <f t="shared" si="10"/>
        <v>0</v>
      </c>
      <c r="N87" s="50">
        <f t="shared" si="3"/>
        <v>1.0000000000000002</v>
      </c>
      <c r="P87" s="51">
        <f t="shared" si="4"/>
        <v>2.6806669525174828E-3</v>
      </c>
      <c r="Q87" s="51">
        <f t="shared" si="5"/>
        <v>7.9718572927597511E-3</v>
      </c>
      <c r="R87" s="51">
        <f t="shared" si="6"/>
        <v>3.4679807735501712E-5</v>
      </c>
    </row>
    <row r="88" spans="2:18">
      <c r="B88" s="1" t="s">
        <v>3</v>
      </c>
      <c r="C88" s="207">
        <f>'Données règlements européens'!D39</f>
        <v>2258545.52</v>
      </c>
      <c r="D88" s="180">
        <f>'Données règlements européens'!$AD39*E88</f>
        <v>0</v>
      </c>
      <c r="E88" s="50">
        <f t="shared" si="7"/>
        <v>0.32808461454305821</v>
      </c>
      <c r="F88" s="207">
        <f>'Données règlements européens'!K39</f>
        <v>30911.13</v>
      </c>
      <c r="G88" s="180">
        <f>'Données règlements européens'!$AD39*H88</f>
        <v>0</v>
      </c>
      <c r="H88" s="50">
        <f t="shared" si="8"/>
        <v>4.4902642348073479E-3</v>
      </c>
      <c r="I88" s="207">
        <f>'Données règlements européens'!R39+'Données règlements européens'!Y39+'Données règlements européens'!AA39+'Données règlements européens'!AC39</f>
        <v>4594576.9800000004</v>
      </c>
      <c r="J88" s="180">
        <f>'Données règlements européens'!$AD39*K88</f>
        <v>0</v>
      </c>
      <c r="K88" s="50">
        <f t="shared" si="9"/>
        <v>0.66742512122213438</v>
      </c>
      <c r="L88" s="207">
        <f t="shared" si="2"/>
        <v>6884033.6300000008</v>
      </c>
      <c r="M88" s="180">
        <f t="shared" si="10"/>
        <v>0</v>
      </c>
      <c r="N88" s="50">
        <f t="shared" si="3"/>
        <v>1</v>
      </c>
      <c r="P88" s="51">
        <f t="shared" si="4"/>
        <v>1.358126328459882E-2</v>
      </c>
      <c r="Q88" s="51">
        <f t="shared" si="5"/>
        <v>1.3807764938234364E-3</v>
      </c>
      <c r="R88" s="51">
        <f t="shared" si="6"/>
        <v>7.0053336650794783E-3</v>
      </c>
    </row>
    <row r="89" spans="2:18">
      <c r="B89" s="1" t="s">
        <v>26</v>
      </c>
      <c r="C89" s="207">
        <f>'Données règlements européens'!D40</f>
        <v>8279274.8999999994</v>
      </c>
      <c r="D89" s="180">
        <f>'Données règlements européens'!$AD40*E89</f>
        <v>0</v>
      </c>
      <c r="E89" s="50">
        <f t="shared" si="7"/>
        <v>0.3186886736244316</v>
      </c>
      <c r="F89" s="207">
        <f>'Données règlements européens'!K40</f>
        <v>74401.440000000002</v>
      </c>
      <c r="G89" s="180">
        <f>'Données règlements européens'!$AD40*H89</f>
        <v>0</v>
      </c>
      <c r="H89" s="50">
        <f t="shared" si="8"/>
        <v>2.8638856078263249E-3</v>
      </c>
      <c r="I89" s="207">
        <f>'Données règlements européens'!R40+'Données règlements européens'!Y40+'Données règlements européens'!AA40+'Données règlements européens'!AC40</f>
        <v>17625517.73</v>
      </c>
      <c r="J89" s="180">
        <f>'Données règlements européens'!$AD40*K89</f>
        <v>0</v>
      </c>
      <c r="K89" s="50">
        <f t="shared" si="9"/>
        <v>0.67844744076774199</v>
      </c>
      <c r="L89" s="207">
        <f t="shared" si="2"/>
        <v>25979194.07</v>
      </c>
      <c r="M89" s="180">
        <f t="shared" si="10"/>
        <v>0</v>
      </c>
      <c r="N89" s="50">
        <f t="shared" si="3"/>
        <v>0.99999999999999989</v>
      </c>
      <c r="P89" s="51">
        <f t="shared" si="4"/>
        <v>4.978558600070658E-2</v>
      </c>
      <c r="Q89" s="51">
        <f t="shared" si="5"/>
        <v>3.3234553204174277E-3</v>
      </c>
      <c r="R89" s="51">
        <f t="shared" si="6"/>
        <v>2.687355838326257E-2</v>
      </c>
    </row>
    <row r="90" spans="2:18">
      <c r="B90" s="1" t="s">
        <v>96</v>
      </c>
      <c r="C90" s="207">
        <f>'Données règlements européens'!D41</f>
        <v>0</v>
      </c>
      <c r="D90" s="180">
        <f>'Données règlements européens'!$AD41*E90</f>
        <v>0</v>
      </c>
      <c r="E90" s="50">
        <f t="shared" si="7"/>
        <v>0</v>
      </c>
      <c r="F90" s="207">
        <f>'Données règlements européens'!K41</f>
        <v>0</v>
      </c>
      <c r="G90" s="180">
        <f>'Données règlements européens'!$AD41*H90</f>
        <v>0</v>
      </c>
      <c r="H90" s="50">
        <f t="shared" si="8"/>
        <v>0</v>
      </c>
      <c r="I90" s="207">
        <f>'Données règlements européens'!R41+'Données règlements européens'!Y41+'Données règlements européens'!AA41+'Données règlements européens'!AC41</f>
        <v>0</v>
      </c>
      <c r="J90" s="180">
        <f>'Données règlements européens'!$AD41*K90</f>
        <v>0</v>
      </c>
      <c r="K90" s="50">
        <f t="shared" si="9"/>
        <v>0</v>
      </c>
      <c r="L90" s="207">
        <f t="shared" si="2"/>
        <v>0</v>
      </c>
      <c r="M90" s="180">
        <f t="shared" si="10"/>
        <v>0</v>
      </c>
      <c r="N90" s="50">
        <f t="shared" si="3"/>
        <v>0</v>
      </c>
      <c r="P90" s="51">
        <f t="shared" si="4"/>
        <v>0</v>
      </c>
      <c r="Q90" s="51">
        <f t="shared" si="5"/>
        <v>0</v>
      </c>
      <c r="R90" s="51">
        <f t="shared" si="6"/>
        <v>0</v>
      </c>
    </row>
    <row r="91" spans="2:18">
      <c r="B91" s="3" t="s">
        <v>30</v>
      </c>
      <c r="C91" s="206">
        <f>SUM(C55:C90)</f>
        <v>166298633.09999999</v>
      </c>
      <c r="D91" s="206">
        <f>SUM(D55:D90)</f>
        <v>1703780.4163113753</v>
      </c>
      <c r="E91" s="130">
        <f>IFERROR(C91/$L91,0)</f>
        <v>0.19690709100588949</v>
      </c>
      <c r="F91" s="206">
        <f>SUM(F55:F90)</f>
        <v>22386773.050000004</v>
      </c>
      <c r="G91" s="206">
        <f>SUM(G55:G90)</f>
        <v>321287.69943986996</v>
      </c>
      <c r="H91" s="130">
        <f t="shared" si="8"/>
        <v>2.6507219428759964E-2</v>
      </c>
      <c r="I91" s="206">
        <f>SUM(I55:I90)</f>
        <v>655868399.66000009</v>
      </c>
      <c r="J91" s="206">
        <f>SUM(J55:J90)</f>
        <v>10788199.964248754</v>
      </c>
      <c r="K91" s="130">
        <f>IFERROR(I91/$L91,0)</f>
        <v>0.77658568956535057</v>
      </c>
      <c r="L91" s="206">
        <f>IF(SUM(L55:L90)=C91+F91+I91,SUM(L55:L90),"Faux")</f>
        <v>844553805.81000006</v>
      </c>
      <c r="M91" s="206">
        <f>IF(SUM(M55:M90)=D91+G91+J91,SUM(M55:M90),"Faux")</f>
        <v>12813268.08</v>
      </c>
      <c r="N91" s="50">
        <f t="shared" si="3"/>
        <v>1</v>
      </c>
      <c r="P91" s="51">
        <f>SUM(P55:P90)</f>
        <v>1</v>
      </c>
      <c r="Q91" s="51">
        <f t="shared" ref="Q91:R91" si="11">SUM(Q55:Q90)</f>
        <v>0.99999999999999967</v>
      </c>
      <c r="R91" s="51">
        <f t="shared" si="11"/>
        <v>1.0000000000000002</v>
      </c>
    </row>
    <row r="92" spans="2:18">
      <c r="B92" s="202" t="s">
        <v>198</v>
      </c>
      <c r="G92" s="46"/>
    </row>
    <row r="93" spans="2:18">
      <c r="L93" s="205"/>
      <c r="M93" s="224"/>
    </row>
  </sheetData>
  <sortState ref="B54:B89">
    <sortCondition ref="B54"/>
  </sortState>
  <mergeCells count="8">
    <mergeCell ref="C3:D3"/>
    <mergeCell ref="Q53:Q54"/>
    <mergeCell ref="R53:R54"/>
    <mergeCell ref="C53:E53"/>
    <mergeCell ref="F53:H53"/>
    <mergeCell ref="I53:K53"/>
    <mergeCell ref="L53:N53"/>
    <mergeCell ref="P53:P54"/>
  </mergeCells>
  <conditionalFormatting sqref="P55:P90">
    <cfRule type="top10" dxfId="8" priority="23" rank="3"/>
  </conditionalFormatting>
  <conditionalFormatting sqref="Q55:Q90">
    <cfRule type="top10" dxfId="7" priority="22" rank="3"/>
  </conditionalFormatting>
  <conditionalFormatting sqref="R55:R90">
    <cfRule type="top10" dxfId="6" priority="21" rank="4"/>
  </conditionalFormatting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tabColor theme="3" tint="0.39997558519241921"/>
  </sheetPr>
  <dimension ref="A1:X84"/>
  <sheetViews>
    <sheetView zoomScale="80" zoomScaleNormal="80" workbookViewId="0"/>
  </sheetViews>
  <sheetFormatPr baseColWidth="10" defaultRowHeight="12.75"/>
  <cols>
    <col min="1" max="1" width="11.42578125" style="22"/>
    <col min="2" max="2" width="29.85546875" style="22" customWidth="1"/>
    <col min="3" max="3" width="15.140625" style="22" bestFit="1" customWidth="1"/>
    <col min="4" max="5" width="11.42578125" style="22"/>
    <col min="6" max="6" width="15.140625" style="22" customWidth="1"/>
    <col min="7" max="7" width="16.5703125" style="22" customWidth="1"/>
    <col min="8" max="10" width="11.42578125" style="22"/>
    <col min="11" max="11" width="13.5703125" style="22" bestFit="1" customWidth="1"/>
    <col min="12" max="12" width="13.140625" style="22" bestFit="1" customWidth="1"/>
    <col min="13" max="15" width="13.140625" style="22" customWidth="1"/>
    <col min="16" max="16" width="13.5703125" style="22" customWidth="1"/>
    <col min="17" max="17" width="11.42578125" style="22"/>
    <col min="18" max="18" width="12.5703125" style="22" customWidth="1"/>
    <col min="19" max="19" width="16.42578125" style="22" customWidth="1"/>
    <col min="20" max="20" width="11.42578125" style="22" customWidth="1"/>
    <col min="21" max="21" width="16.85546875" style="22" customWidth="1"/>
    <col min="22" max="23" width="13.140625" style="22" bestFit="1" customWidth="1"/>
    <col min="24" max="24" width="16.42578125" style="22" bestFit="1" customWidth="1"/>
    <col min="25" max="16384" width="11.42578125" style="22"/>
  </cols>
  <sheetData>
    <row r="1" spans="1:24" ht="15.75" thickBot="1">
      <c r="A1" s="14" t="s">
        <v>58</v>
      </c>
    </row>
    <row r="3" spans="1:24">
      <c r="D3" s="331" t="s">
        <v>71</v>
      </c>
      <c r="E3" s="331"/>
      <c r="F3" s="331"/>
      <c r="G3" s="331"/>
      <c r="H3" s="331"/>
      <c r="I3" s="331"/>
      <c r="J3" s="331" t="s">
        <v>72</v>
      </c>
      <c r="K3" s="331"/>
      <c r="L3" s="331"/>
      <c r="M3" s="335" t="s">
        <v>157</v>
      </c>
      <c r="N3" s="336"/>
      <c r="O3" s="337"/>
      <c r="P3" s="339" t="s">
        <v>101</v>
      </c>
      <c r="Q3" s="331" t="s">
        <v>30</v>
      </c>
      <c r="R3" s="331"/>
      <c r="S3" s="331"/>
      <c r="T3" s="331"/>
      <c r="U3" s="331"/>
      <c r="V3" s="331"/>
    </row>
    <row r="4" spans="1:24">
      <c r="B4" s="354" t="s">
        <v>73</v>
      </c>
      <c r="C4" s="356" t="s">
        <v>74</v>
      </c>
      <c r="D4" s="358" t="s">
        <v>37</v>
      </c>
      <c r="E4" s="359"/>
      <c r="F4" s="358" t="s">
        <v>41</v>
      </c>
      <c r="G4" s="359"/>
      <c r="H4" s="359"/>
      <c r="I4" s="360"/>
      <c r="J4" s="332" t="s">
        <v>37</v>
      </c>
      <c r="K4" s="332" t="s">
        <v>41</v>
      </c>
      <c r="L4" s="332" t="s">
        <v>62</v>
      </c>
      <c r="M4" s="338" t="s">
        <v>37</v>
      </c>
      <c r="N4" s="333" t="s">
        <v>77</v>
      </c>
      <c r="O4" s="338" t="s">
        <v>62</v>
      </c>
      <c r="P4" s="340"/>
      <c r="Q4" s="332" t="s">
        <v>37</v>
      </c>
      <c r="R4" s="328" t="s">
        <v>75</v>
      </c>
      <c r="S4" s="333" t="s">
        <v>158</v>
      </c>
      <c r="T4" s="328" t="s">
        <v>76</v>
      </c>
      <c r="U4" s="333" t="s">
        <v>159</v>
      </c>
      <c r="V4" s="328" t="s">
        <v>181</v>
      </c>
    </row>
    <row r="5" spans="1:24" ht="39.75" customHeight="1">
      <c r="B5" s="355"/>
      <c r="C5" s="357"/>
      <c r="D5" s="26" t="s">
        <v>63</v>
      </c>
      <c r="E5" s="26" t="s">
        <v>64</v>
      </c>
      <c r="F5" s="26" t="s">
        <v>77</v>
      </c>
      <c r="G5" s="26" t="s">
        <v>77</v>
      </c>
      <c r="H5" s="26" t="s">
        <v>64</v>
      </c>
      <c r="I5" s="26" t="s">
        <v>62</v>
      </c>
      <c r="J5" s="332"/>
      <c r="K5" s="332"/>
      <c r="L5" s="332"/>
      <c r="M5" s="338"/>
      <c r="N5" s="334"/>
      <c r="O5" s="338"/>
      <c r="P5" s="341"/>
      <c r="Q5" s="332"/>
      <c r="R5" s="329"/>
      <c r="S5" s="334"/>
      <c r="T5" s="329"/>
      <c r="U5" s="334"/>
      <c r="V5" s="329"/>
    </row>
    <row r="6" spans="1:24">
      <c r="B6" s="361" t="s">
        <v>78</v>
      </c>
      <c r="C6" s="27" t="s">
        <v>31</v>
      </c>
      <c r="D6" s="362">
        <f>'Données règlements européens'!C42</f>
        <v>69221</v>
      </c>
      <c r="E6" s="365">
        <f>D6/$D$21</f>
        <v>0.1631304954410375</v>
      </c>
      <c r="F6" s="208">
        <f>'Données règlements européens'!E42</f>
        <v>6949500.8099999987</v>
      </c>
      <c r="G6" s="325">
        <f>SUM(F6:F10)</f>
        <v>166298633.10000002</v>
      </c>
      <c r="H6" s="365">
        <f>G6/$G$21</f>
        <v>0.19691111548210311</v>
      </c>
      <c r="I6" s="342">
        <f>G6/D6</f>
        <v>2402.4303766198123</v>
      </c>
      <c r="J6" s="345"/>
      <c r="K6" s="345"/>
      <c r="L6" s="345"/>
      <c r="M6" s="345"/>
      <c r="N6" s="345"/>
      <c r="O6" s="345"/>
      <c r="P6" s="325">
        <f>'Données règlements européens'!$AD$42*T6</f>
        <v>2523023.3439114192</v>
      </c>
      <c r="Q6" s="348">
        <f>D6+J6+M6</f>
        <v>69221</v>
      </c>
      <c r="R6" s="351">
        <f>Q6/Q21</f>
        <v>0.1630559474987221</v>
      </c>
      <c r="S6" s="325">
        <f>G6+K6+N6</f>
        <v>166298633.10000002</v>
      </c>
      <c r="T6" s="351">
        <f>S6/S21</f>
        <v>0.19690709100588955</v>
      </c>
      <c r="U6" s="325">
        <f>S6+P6</f>
        <v>168821656.44391143</v>
      </c>
      <c r="V6" s="330">
        <f>S6/Q6</f>
        <v>2402.4303766198123</v>
      </c>
    </row>
    <row r="7" spans="1:24">
      <c r="B7" s="361"/>
      <c r="C7" s="27" t="s">
        <v>32</v>
      </c>
      <c r="D7" s="363"/>
      <c r="E7" s="366"/>
      <c r="F7" s="208">
        <f>'Données règlements européens'!F42</f>
        <v>120370.99999999999</v>
      </c>
      <c r="G7" s="326"/>
      <c r="H7" s="366"/>
      <c r="I7" s="343"/>
      <c r="J7" s="346"/>
      <c r="K7" s="346"/>
      <c r="L7" s="346"/>
      <c r="M7" s="346"/>
      <c r="N7" s="346"/>
      <c r="O7" s="346"/>
      <c r="P7" s="326"/>
      <c r="Q7" s="349"/>
      <c r="R7" s="352"/>
      <c r="S7" s="326"/>
      <c r="T7" s="352"/>
      <c r="U7" s="326"/>
      <c r="V7" s="330"/>
    </row>
    <row r="8" spans="1:24">
      <c r="B8" s="361"/>
      <c r="C8" s="27" t="s">
        <v>33</v>
      </c>
      <c r="D8" s="363"/>
      <c r="E8" s="366"/>
      <c r="F8" s="208">
        <f>'Données règlements européens'!G42</f>
        <v>2772022.24</v>
      </c>
      <c r="G8" s="326"/>
      <c r="H8" s="366"/>
      <c r="I8" s="343"/>
      <c r="J8" s="346"/>
      <c r="K8" s="346"/>
      <c r="L8" s="346"/>
      <c r="M8" s="346"/>
      <c r="N8" s="346"/>
      <c r="O8" s="346"/>
      <c r="P8" s="326"/>
      <c r="Q8" s="349"/>
      <c r="R8" s="352"/>
      <c r="S8" s="326"/>
      <c r="T8" s="352"/>
      <c r="U8" s="326"/>
      <c r="V8" s="330"/>
      <c r="W8" s="30"/>
      <c r="X8" s="30"/>
    </row>
    <row r="9" spans="1:24">
      <c r="B9" s="361"/>
      <c r="C9" s="27" t="s">
        <v>79</v>
      </c>
      <c r="D9" s="363"/>
      <c r="E9" s="366"/>
      <c r="F9" s="208">
        <f>'Données règlements européens'!H42</f>
        <v>149504692.27000001</v>
      </c>
      <c r="G9" s="326"/>
      <c r="H9" s="366"/>
      <c r="I9" s="343"/>
      <c r="J9" s="346"/>
      <c r="K9" s="346"/>
      <c r="L9" s="346"/>
      <c r="M9" s="346"/>
      <c r="N9" s="346"/>
      <c r="O9" s="346"/>
      <c r="P9" s="326"/>
      <c r="Q9" s="349"/>
      <c r="R9" s="352"/>
      <c r="S9" s="326"/>
      <c r="T9" s="352"/>
      <c r="U9" s="326"/>
      <c r="V9" s="330"/>
      <c r="W9" s="24"/>
      <c r="X9" s="24"/>
    </row>
    <row r="10" spans="1:24">
      <c r="B10" s="361"/>
      <c r="C10" s="27" t="s">
        <v>35</v>
      </c>
      <c r="D10" s="364"/>
      <c r="E10" s="367"/>
      <c r="F10" s="208">
        <f>'Données règlements européens'!I42</f>
        <v>6952046.7799999993</v>
      </c>
      <c r="G10" s="327"/>
      <c r="H10" s="367"/>
      <c r="I10" s="344"/>
      <c r="J10" s="347"/>
      <c r="K10" s="347"/>
      <c r="L10" s="347"/>
      <c r="M10" s="347"/>
      <c r="N10" s="347"/>
      <c r="O10" s="347"/>
      <c r="P10" s="327"/>
      <c r="Q10" s="350"/>
      <c r="R10" s="353"/>
      <c r="S10" s="327"/>
      <c r="T10" s="353"/>
      <c r="U10" s="327"/>
      <c r="V10" s="330"/>
      <c r="W10" s="24"/>
      <c r="X10" s="24"/>
    </row>
    <row r="11" spans="1:24">
      <c r="B11" s="369" t="s">
        <v>80</v>
      </c>
      <c r="C11" s="28" t="s">
        <v>31</v>
      </c>
      <c r="D11" s="370">
        <f>'Données règlements européens'!J42</f>
        <v>3366</v>
      </c>
      <c r="E11" s="365">
        <f>D11/$D$21</f>
        <v>7.9325240556266489E-3</v>
      </c>
      <c r="F11" s="208">
        <f>'Données règlements européens'!L42</f>
        <v>1270726.1299999999</v>
      </c>
      <c r="G11" s="325">
        <f>SUM(F11:F15)</f>
        <v>22386773.050000004</v>
      </c>
      <c r="H11" s="365">
        <f>G11/$G$21</f>
        <v>2.6507761195303438E-2</v>
      </c>
      <c r="I11" s="368">
        <f>G11/D11</f>
        <v>6650.8535502079631</v>
      </c>
      <c r="J11" s="345"/>
      <c r="K11" s="345"/>
      <c r="L11" s="345"/>
      <c r="M11" s="345"/>
      <c r="N11" s="345"/>
      <c r="O11" s="345"/>
      <c r="P11" s="325">
        <f>'Données règlements européens'!$AD$42*T11</f>
        <v>339644.10859608592</v>
      </c>
      <c r="Q11" s="348">
        <f>D11+J11+M11</f>
        <v>3366</v>
      </c>
      <c r="R11" s="351">
        <f>Q11/Q21</f>
        <v>7.9288990231389106E-3</v>
      </c>
      <c r="S11" s="325">
        <f>G11+K11+N11</f>
        <v>22386773.050000004</v>
      </c>
      <c r="T11" s="351">
        <f>S11/S21</f>
        <v>2.6507219428759971E-2</v>
      </c>
      <c r="U11" s="325">
        <f>S11+P11</f>
        <v>22726417.158596091</v>
      </c>
      <c r="V11" s="330">
        <f>S11/Q11</f>
        <v>6650.8535502079631</v>
      </c>
      <c r="W11" s="24"/>
      <c r="X11" s="24"/>
    </row>
    <row r="12" spans="1:24">
      <c r="B12" s="369"/>
      <c r="C12" s="28" t="s">
        <v>32</v>
      </c>
      <c r="D12" s="370"/>
      <c r="E12" s="366"/>
      <c r="F12" s="208">
        <f>'Données règlements européens'!M42</f>
        <v>471.79999999999995</v>
      </c>
      <c r="G12" s="326"/>
      <c r="H12" s="366"/>
      <c r="I12" s="368"/>
      <c r="J12" s="346"/>
      <c r="K12" s="346"/>
      <c r="L12" s="346"/>
      <c r="M12" s="346"/>
      <c r="N12" s="346"/>
      <c r="O12" s="346"/>
      <c r="P12" s="326"/>
      <c r="Q12" s="349"/>
      <c r="R12" s="352"/>
      <c r="S12" s="326"/>
      <c r="T12" s="352"/>
      <c r="U12" s="326"/>
      <c r="V12" s="330"/>
      <c r="W12" s="24"/>
      <c r="X12" s="24"/>
    </row>
    <row r="13" spans="1:24">
      <c r="B13" s="369"/>
      <c r="C13" s="28" t="s">
        <v>33</v>
      </c>
      <c r="D13" s="370"/>
      <c r="E13" s="366"/>
      <c r="F13" s="208">
        <f>'Données règlements européens'!N42</f>
        <v>1369897.0800000003</v>
      </c>
      <c r="G13" s="326"/>
      <c r="H13" s="366"/>
      <c r="I13" s="368"/>
      <c r="J13" s="346"/>
      <c r="K13" s="346"/>
      <c r="L13" s="346"/>
      <c r="M13" s="346"/>
      <c r="N13" s="346"/>
      <c r="O13" s="346"/>
      <c r="P13" s="326"/>
      <c r="Q13" s="349"/>
      <c r="R13" s="352"/>
      <c r="S13" s="326"/>
      <c r="T13" s="352"/>
      <c r="U13" s="326"/>
      <c r="V13" s="330"/>
      <c r="W13" s="30"/>
      <c r="X13" s="30"/>
    </row>
    <row r="14" spans="1:24">
      <c r="B14" s="369"/>
      <c r="C14" s="28" t="s">
        <v>79</v>
      </c>
      <c r="D14" s="370"/>
      <c r="E14" s="366"/>
      <c r="F14" s="208">
        <f>'Données règlements européens'!O42</f>
        <v>17678797.850000001</v>
      </c>
      <c r="G14" s="326"/>
      <c r="H14" s="366"/>
      <c r="I14" s="368"/>
      <c r="J14" s="346"/>
      <c r="K14" s="346"/>
      <c r="L14" s="346"/>
      <c r="M14" s="346"/>
      <c r="N14" s="346"/>
      <c r="O14" s="346"/>
      <c r="P14" s="326"/>
      <c r="Q14" s="349"/>
      <c r="R14" s="352"/>
      <c r="S14" s="326"/>
      <c r="T14" s="352"/>
      <c r="U14" s="326"/>
      <c r="V14" s="330"/>
      <c r="W14" s="24"/>
      <c r="X14" s="24"/>
    </row>
    <row r="15" spans="1:24">
      <c r="B15" s="369"/>
      <c r="C15" s="28" t="s">
        <v>35</v>
      </c>
      <c r="D15" s="370"/>
      <c r="E15" s="367"/>
      <c r="F15" s="208">
        <f>'Données règlements européens'!P42</f>
        <v>2066880.19</v>
      </c>
      <c r="G15" s="327"/>
      <c r="H15" s="367"/>
      <c r="I15" s="368"/>
      <c r="J15" s="347"/>
      <c r="K15" s="347"/>
      <c r="L15" s="347"/>
      <c r="M15" s="347"/>
      <c r="N15" s="347"/>
      <c r="O15" s="347"/>
      <c r="P15" s="327"/>
      <c r="Q15" s="350"/>
      <c r="R15" s="353"/>
      <c r="S15" s="327"/>
      <c r="T15" s="353"/>
      <c r="U15" s="327"/>
      <c r="V15" s="330"/>
      <c r="W15" s="24"/>
      <c r="X15" s="24"/>
    </row>
    <row r="16" spans="1:24">
      <c r="B16" s="361" t="s">
        <v>81</v>
      </c>
      <c r="C16" s="27" t="s">
        <v>31</v>
      </c>
      <c r="D16" s="370">
        <f>'Données règlements européens'!Q42</f>
        <v>351742</v>
      </c>
      <c r="E16" s="365">
        <f>D16/$D$21</f>
        <v>0.82893698050333586</v>
      </c>
      <c r="F16" s="208">
        <f>'Données règlements européens'!S42</f>
        <v>108849972.92999999</v>
      </c>
      <c r="G16" s="325">
        <f>SUM(F16:F20)</f>
        <v>655851138.63999999</v>
      </c>
      <c r="H16" s="365">
        <f>G16/$G$21</f>
        <v>0.77658112332259355</v>
      </c>
      <c r="I16" s="368">
        <f>G16/D16</f>
        <v>1864.5801145157529</v>
      </c>
      <c r="J16" s="325">
        <f>'Données règlements européens'!X42+'Données règlements européens'!Z42</f>
        <v>0</v>
      </c>
      <c r="K16" s="325">
        <f>'Données règlements européens'!Y42+'Données règlements européens'!AA42</f>
        <v>0</v>
      </c>
      <c r="L16" s="368" t="str">
        <f>IF(K16=0,"-",K16/J16)</f>
        <v>-</v>
      </c>
      <c r="M16" s="370">
        <f>'Données règlements européens'!AB42</f>
        <v>194</v>
      </c>
      <c r="N16" s="370">
        <f>'Données règlements européens'!AC42</f>
        <v>17261.02</v>
      </c>
      <c r="O16" s="368">
        <f>N16/M16</f>
        <v>88.974329896907221</v>
      </c>
      <c r="P16" s="325">
        <f>'Données règlements européens'!$AD$42*T16</f>
        <v>9950600.6274924949</v>
      </c>
      <c r="Q16" s="348">
        <f>D16+J16+M16</f>
        <v>351936</v>
      </c>
      <c r="R16" s="351">
        <f>Q16/Q21</f>
        <v>0.82901515347813903</v>
      </c>
      <c r="S16" s="325">
        <f>G16+K16+N16</f>
        <v>655868399.65999997</v>
      </c>
      <c r="T16" s="351">
        <f>S16/S21</f>
        <v>0.77658568956535057</v>
      </c>
      <c r="U16" s="325">
        <f>S16+P16</f>
        <v>665819000.28749251</v>
      </c>
      <c r="V16" s="330">
        <f>S16/Q16</f>
        <v>1863.6013356405708</v>
      </c>
      <c r="W16" s="24"/>
      <c r="X16" s="24"/>
    </row>
    <row r="17" spans="2:24">
      <c r="B17" s="361"/>
      <c r="C17" s="27" t="s">
        <v>32</v>
      </c>
      <c r="D17" s="370"/>
      <c r="E17" s="366"/>
      <c r="F17" s="208">
        <f>'Données règlements européens'!T42</f>
        <v>16324568.09</v>
      </c>
      <c r="G17" s="326"/>
      <c r="H17" s="366"/>
      <c r="I17" s="368"/>
      <c r="J17" s="326"/>
      <c r="K17" s="326"/>
      <c r="L17" s="368"/>
      <c r="M17" s="370"/>
      <c r="N17" s="370"/>
      <c r="O17" s="368"/>
      <c r="P17" s="326"/>
      <c r="Q17" s="349"/>
      <c r="R17" s="352"/>
      <c r="S17" s="326"/>
      <c r="T17" s="352"/>
      <c r="U17" s="326"/>
      <c r="V17" s="330"/>
      <c r="W17" s="24"/>
      <c r="X17" s="24"/>
    </row>
    <row r="18" spans="2:24">
      <c r="B18" s="361"/>
      <c r="C18" s="27" t="s">
        <v>33</v>
      </c>
      <c r="D18" s="370"/>
      <c r="E18" s="366"/>
      <c r="F18" s="208">
        <f>'Données règlements européens'!U42</f>
        <v>107529483.34</v>
      </c>
      <c r="G18" s="326"/>
      <c r="H18" s="366"/>
      <c r="I18" s="368"/>
      <c r="J18" s="326"/>
      <c r="K18" s="326"/>
      <c r="L18" s="368"/>
      <c r="M18" s="370"/>
      <c r="N18" s="370"/>
      <c r="O18" s="368"/>
      <c r="P18" s="326"/>
      <c r="Q18" s="349"/>
      <c r="R18" s="352"/>
      <c r="S18" s="326"/>
      <c r="T18" s="352"/>
      <c r="U18" s="326"/>
      <c r="V18" s="330"/>
      <c r="W18" s="30"/>
      <c r="X18" s="30"/>
    </row>
    <row r="19" spans="2:24">
      <c r="B19" s="361"/>
      <c r="C19" s="27" t="s">
        <v>79</v>
      </c>
      <c r="D19" s="370"/>
      <c r="E19" s="366"/>
      <c r="F19" s="208">
        <f>'Données règlements européens'!V42</f>
        <v>256350333.26999995</v>
      </c>
      <c r="G19" s="326"/>
      <c r="H19" s="366"/>
      <c r="I19" s="368"/>
      <c r="J19" s="326"/>
      <c r="K19" s="326"/>
      <c r="L19" s="368"/>
      <c r="M19" s="370"/>
      <c r="N19" s="370"/>
      <c r="O19" s="368"/>
      <c r="P19" s="326"/>
      <c r="Q19" s="349"/>
      <c r="R19" s="352"/>
      <c r="S19" s="326"/>
      <c r="T19" s="352"/>
      <c r="U19" s="326"/>
      <c r="V19" s="330"/>
    </row>
    <row r="20" spans="2:24">
      <c r="B20" s="361"/>
      <c r="C20" s="27" t="s">
        <v>35</v>
      </c>
      <c r="D20" s="370"/>
      <c r="E20" s="367"/>
      <c r="F20" s="208">
        <f>'Données règlements européens'!W42</f>
        <v>166796781.00999999</v>
      </c>
      <c r="G20" s="327"/>
      <c r="H20" s="367"/>
      <c r="I20" s="368"/>
      <c r="J20" s="327"/>
      <c r="K20" s="327"/>
      <c r="L20" s="368"/>
      <c r="M20" s="370"/>
      <c r="N20" s="370"/>
      <c r="O20" s="368"/>
      <c r="P20" s="327"/>
      <c r="Q20" s="350"/>
      <c r="R20" s="353"/>
      <c r="S20" s="327"/>
      <c r="T20" s="353"/>
      <c r="U20" s="327"/>
      <c r="V20" s="330"/>
    </row>
    <row r="21" spans="2:24">
      <c r="B21" s="369" t="s">
        <v>82</v>
      </c>
      <c r="C21" s="28" t="s">
        <v>31</v>
      </c>
      <c r="D21" s="371">
        <f>SUM(D6:D20)</f>
        <v>424329</v>
      </c>
      <c r="E21" s="365">
        <f>SUM(E6:E20)</f>
        <v>1</v>
      </c>
      <c r="F21" s="209">
        <f>F6+F11+F16</f>
        <v>117070199.86999999</v>
      </c>
      <c r="G21" s="372">
        <f>SUM(G6:G20)</f>
        <v>844536544.78999996</v>
      </c>
      <c r="H21" s="365">
        <f>SUM(H6:H20)</f>
        <v>1</v>
      </c>
      <c r="I21" s="368">
        <f>G21/D21</f>
        <v>1990.2871234113152</v>
      </c>
      <c r="J21" s="325">
        <f>SUM(J6:J20)</f>
        <v>0</v>
      </c>
      <c r="K21" s="325">
        <f>SUM(K6:K20)</f>
        <v>0</v>
      </c>
      <c r="L21" s="368" t="str">
        <f>IF(J21=0,"-",K21/J21)</f>
        <v>-</v>
      </c>
      <c r="M21" s="325">
        <f>SUM(M6:M20)</f>
        <v>194</v>
      </c>
      <c r="N21" s="325">
        <f>SUM(N6:N20)</f>
        <v>17261.02</v>
      </c>
      <c r="O21" s="368">
        <f>N21/M21</f>
        <v>88.974329896907221</v>
      </c>
      <c r="P21" s="325">
        <f t="shared" ref="P21:U21" si="0">SUM(P6:P20)</f>
        <v>12813268.08</v>
      </c>
      <c r="Q21" s="373">
        <f t="shared" si="0"/>
        <v>424523</v>
      </c>
      <c r="R21" s="351">
        <f t="shared" si="0"/>
        <v>1</v>
      </c>
      <c r="S21" s="325">
        <f t="shared" si="0"/>
        <v>844553805.80999994</v>
      </c>
      <c r="T21" s="351">
        <f t="shared" si="0"/>
        <v>1</v>
      </c>
      <c r="U21" s="325">
        <f t="shared" si="0"/>
        <v>857367073.8900001</v>
      </c>
      <c r="V21" s="330">
        <f>S21/Q21</f>
        <v>1989.4182548648716</v>
      </c>
    </row>
    <row r="22" spans="2:24">
      <c r="B22" s="369"/>
      <c r="C22" s="28" t="s">
        <v>32</v>
      </c>
      <c r="D22" s="371"/>
      <c r="E22" s="366"/>
      <c r="F22" s="209">
        <f>F7+F12+F17</f>
        <v>16445410.890000001</v>
      </c>
      <c r="G22" s="372"/>
      <c r="H22" s="366"/>
      <c r="I22" s="368"/>
      <c r="J22" s="326"/>
      <c r="K22" s="326"/>
      <c r="L22" s="368"/>
      <c r="M22" s="326"/>
      <c r="N22" s="326"/>
      <c r="O22" s="368"/>
      <c r="P22" s="326"/>
      <c r="Q22" s="373"/>
      <c r="R22" s="352"/>
      <c r="S22" s="326"/>
      <c r="T22" s="352"/>
      <c r="U22" s="326"/>
      <c r="V22" s="330"/>
    </row>
    <row r="23" spans="2:24">
      <c r="B23" s="369"/>
      <c r="C23" s="28" t="s">
        <v>33</v>
      </c>
      <c r="D23" s="371"/>
      <c r="E23" s="366"/>
      <c r="F23" s="209">
        <f>F8+F13+F18</f>
        <v>111671402.66</v>
      </c>
      <c r="G23" s="372"/>
      <c r="H23" s="366"/>
      <c r="I23" s="368"/>
      <c r="J23" s="326"/>
      <c r="K23" s="326"/>
      <c r="L23" s="368"/>
      <c r="M23" s="326"/>
      <c r="N23" s="326"/>
      <c r="O23" s="368"/>
      <c r="P23" s="326"/>
      <c r="Q23" s="373"/>
      <c r="R23" s="352"/>
      <c r="S23" s="326"/>
      <c r="T23" s="352"/>
      <c r="U23" s="326"/>
      <c r="V23" s="330"/>
    </row>
    <row r="24" spans="2:24">
      <c r="B24" s="369"/>
      <c r="C24" s="28" t="s">
        <v>79</v>
      </c>
      <c r="D24" s="371"/>
      <c r="E24" s="366"/>
      <c r="F24" s="209">
        <f>F9+F14+F19</f>
        <v>423533823.38999999</v>
      </c>
      <c r="G24" s="372"/>
      <c r="H24" s="366"/>
      <c r="I24" s="368"/>
      <c r="J24" s="326"/>
      <c r="K24" s="326"/>
      <c r="L24" s="368"/>
      <c r="M24" s="326"/>
      <c r="N24" s="326"/>
      <c r="O24" s="368"/>
      <c r="P24" s="326"/>
      <c r="Q24" s="373"/>
      <c r="R24" s="352"/>
      <c r="S24" s="326"/>
      <c r="T24" s="352"/>
      <c r="U24" s="326"/>
      <c r="V24" s="330"/>
    </row>
    <row r="25" spans="2:24">
      <c r="B25" s="369"/>
      <c r="C25" s="28" t="s">
        <v>35</v>
      </c>
      <c r="D25" s="371"/>
      <c r="E25" s="367"/>
      <c r="F25" s="209">
        <f>F10+F15+F20</f>
        <v>175815707.97999999</v>
      </c>
      <c r="G25" s="372"/>
      <c r="H25" s="367"/>
      <c r="I25" s="368"/>
      <c r="J25" s="327"/>
      <c r="K25" s="327"/>
      <c r="L25" s="368"/>
      <c r="M25" s="327"/>
      <c r="N25" s="327"/>
      <c r="O25" s="368"/>
      <c r="P25" s="327"/>
      <c r="Q25" s="373"/>
      <c r="R25" s="353"/>
      <c r="S25" s="327"/>
      <c r="T25" s="353"/>
      <c r="U25" s="327"/>
      <c r="V25" s="330"/>
    </row>
    <row r="26" spans="2:24">
      <c r="B26" s="202" t="s">
        <v>198</v>
      </c>
      <c r="C26" s="29"/>
      <c r="D26" s="29"/>
      <c r="E26" s="29"/>
      <c r="F26" s="29"/>
      <c r="G26" s="29"/>
      <c r="H26" s="29"/>
      <c r="I26" s="29"/>
      <c r="J26" s="123"/>
      <c r="K26" s="125"/>
      <c r="L26" s="124"/>
      <c r="M26" s="124"/>
      <c r="N26" s="124"/>
      <c r="O26" s="124"/>
      <c r="P26" s="124"/>
      <c r="Q26" s="126"/>
      <c r="R26" s="127"/>
      <c r="S26" s="128"/>
      <c r="T26" s="127"/>
      <c r="U26" s="127"/>
      <c r="V26" s="129"/>
    </row>
    <row r="27" spans="2:24">
      <c r="B27" s="29" t="s">
        <v>133</v>
      </c>
      <c r="G27" s="70"/>
      <c r="K27" s="70"/>
      <c r="S27" s="139"/>
    </row>
    <row r="28" spans="2:24">
      <c r="N28" s="248"/>
      <c r="Q28" s="30"/>
      <c r="R28" s="30"/>
    </row>
    <row r="29" spans="2:24">
      <c r="B29" s="31" t="s">
        <v>128</v>
      </c>
    </row>
    <row r="30" spans="2:24">
      <c r="S30" s="248"/>
    </row>
    <row r="31" spans="2:24">
      <c r="G31" s="32"/>
      <c r="H31" s="32"/>
    </row>
    <row r="32" spans="2:24">
      <c r="C32" s="22" t="str">
        <f>"Dépenses : "&amp;TEXT(S21/1000000,"# ###,##")&amp;" Millions d'€"</f>
        <v>Dépenses : 844,55 Millions d'€</v>
      </c>
      <c r="G32" s="248"/>
      <c r="U32" s="248"/>
    </row>
    <row r="33" spans="2:8">
      <c r="C33" s="22" t="str">
        <f>"Bénéficiaires = "&amp;TEXT(Q21,"# ###")</f>
        <v>Bénéficiaires = 424 523</v>
      </c>
    </row>
    <row r="38" spans="2:8">
      <c r="H38" s="242"/>
    </row>
    <row r="45" spans="2:8">
      <c r="B45" s="29" t="s">
        <v>133</v>
      </c>
    </row>
    <row r="47" spans="2:8">
      <c r="B47" s="31" t="s">
        <v>129</v>
      </c>
    </row>
    <row r="61" spans="2:2">
      <c r="B61" s="29" t="s">
        <v>133</v>
      </c>
    </row>
    <row r="63" spans="2:2">
      <c r="B63" s="31" t="s">
        <v>83</v>
      </c>
    </row>
    <row r="79" spans="2:2">
      <c r="B79" s="29" t="s">
        <v>133</v>
      </c>
    </row>
    <row r="81" spans="2:3" ht="15">
      <c r="B81" s="33" t="s">
        <v>82</v>
      </c>
      <c r="C81" s="2">
        <f>V21</f>
        <v>1989.4182548648716</v>
      </c>
    </row>
    <row r="82" spans="2:3" ht="15">
      <c r="B82" s="33" t="s">
        <v>81</v>
      </c>
      <c r="C82" s="2">
        <f>V16</f>
        <v>1863.6013356405708</v>
      </c>
    </row>
    <row r="83" spans="2:3" ht="15">
      <c r="B83" s="33" t="s">
        <v>80</v>
      </c>
      <c r="C83" s="2">
        <f>V11</f>
        <v>6650.8535502079631</v>
      </c>
    </row>
    <row r="84" spans="2:3" ht="15">
      <c r="B84" s="33" t="s">
        <v>78</v>
      </c>
      <c r="C84" s="2">
        <f>V6</f>
        <v>2402.4303766198123</v>
      </c>
    </row>
  </sheetData>
  <mergeCells count="97">
    <mergeCell ref="I21:I25"/>
    <mergeCell ref="J21:J25"/>
    <mergeCell ref="K21:K25"/>
    <mergeCell ref="L21:L25"/>
    <mergeCell ref="Q21:Q25"/>
    <mergeCell ref="P21:P25"/>
    <mergeCell ref="O21:O25"/>
    <mergeCell ref="M21:M25"/>
    <mergeCell ref="N21:N25"/>
    <mergeCell ref="R21:R25"/>
    <mergeCell ref="T16:T20"/>
    <mergeCell ref="V16:V20"/>
    <mergeCell ref="B21:B25"/>
    <mergeCell ref="D21:D25"/>
    <mergeCell ref="E21:E25"/>
    <mergeCell ref="G21:G25"/>
    <mergeCell ref="H21:H25"/>
    <mergeCell ref="S21:S25"/>
    <mergeCell ref="T21:T25"/>
    <mergeCell ref="V21:V25"/>
    <mergeCell ref="J16:J20"/>
    <mergeCell ref="K16:K20"/>
    <mergeCell ref="L16:L20"/>
    <mergeCell ref="Q16:Q20"/>
    <mergeCell ref="R16:R20"/>
    <mergeCell ref="S16:S20"/>
    <mergeCell ref="B16:B20"/>
    <mergeCell ref="D16:D20"/>
    <mergeCell ref="E16:E20"/>
    <mergeCell ref="G16:G20"/>
    <mergeCell ref="H16:H20"/>
    <mergeCell ref="I16:I20"/>
    <mergeCell ref="P16:P20"/>
    <mergeCell ref="O16:O20"/>
    <mergeCell ref="N16:N20"/>
    <mergeCell ref="M16:M20"/>
    <mergeCell ref="T11:T15"/>
    <mergeCell ref="P11:P15"/>
    <mergeCell ref="T6:T10"/>
    <mergeCell ref="V6:V10"/>
    <mergeCell ref="U6:U10"/>
    <mergeCell ref="U11:U15"/>
    <mergeCell ref="Q11:Q15"/>
    <mergeCell ref="R11:R15"/>
    <mergeCell ref="B11:B15"/>
    <mergeCell ref="D11:D15"/>
    <mergeCell ref="E11:E15"/>
    <mergeCell ref="G11:G15"/>
    <mergeCell ref="H11:H15"/>
    <mergeCell ref="I11:I15"/>
    <mergeCell ref="J11:J15"/>
    <mergeCell ref="K11:K15"/>
    <mergeCell ref="J6:J10"/>
    <mergeCell ref="K6:K10"/>
    <mergeCell ref="L11:L15"/>
    <mergeCell ref="S6:S10"/>
    <mergeCell ref="P6:P10"/>
    <mergeCell ref="N6:N10"/>
    <mergeCell ref="M6:M10"/>
    <mergeCell ref="O6:O10"/>
    <mergeCell ref="S11:S15"/>
    <mergeCell ref="N11:N15"/>
    <mergeCell ref="M11:M15"/>
    <mergeCell ref="O11:O15"/>
    <mergeCell ref="B4:B5"/>
    <mergeCell ref="C4:C5"/>
    <mergeCell ref="D4:E4"/>
    <mergeCell ref="F4:I4"/>
    <mergeCell ref="B6:B10"/>
    <mergeCell ref="D6:D10"/>
    <mergeCell ref="E6:E10"/>
    <mergeCell ref="G6:G10"/>
    <mergeCell ref="H6:H10"/>
    <mergeCell ref="O4:O5"/>
    <mergeCell ref="P3:P5"/>
    <mergeCell ref="U4:U5"/>
    <mergeCell ref="D3:I3"/>
    <mergeCell ref="I6:I10"/>
    <mergeCell ref="L6:L10"/>
    <mergeCell ref="Q6:Q10"/>
    <mergeCell ref="R6:R10"/>
    <mergeCell ref="U16:U20"/>
    <mergeCell ref="U21:U25"/>
    <mergeCell ref="V4:V5"/>
    <mergeCell ref="V11:V15"/>
    <mergeCell ref="J3:L3"/>
    <mergeCell ref="Q3:V3"/>
    <mergeCell ref="L4:L5"/>
    <mergeCell ref="Q4:Q5"/>
    <mergeCell ref="J4:J5"/>
    <mergeCell ref="K4:K5"/>
    <mergeCell ref="R4:R5"/>
    <mergeCell ref="S4:S5"/>
    <mergeCell ref="T4:T5"/>
    <mergeCell ref="M3:O3"/>
    <mergeCell ref="M4:M5"/>
    <mergeCell ref="N4:N5"/>
  </mergeCells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tabColor theme="8" tint="-0.249977111117893"/>
  </sheetPr>
  <dimension ref="A1:AK44"/>
  <sheetViews>
    <sheetView zoomScale="90" zoomScaleNormal="90" workbookViewId="0">
      <pane xSplit="1" ySplit="5" topLeftCell="B6" activePane="bottomRight" state="frozen"/>
      <selection activeCell="A46" sqref="A46"/>
      <selection pane="topRight" activeCell="A46" sqref="A46"/>
      <selection pane="bottomLeft" activeCell="A46" sqref="A46"/>
      <selection pane="bottomRight" activeCell="B6" sqref="B6"/>
    </sheetView>
  </sheetViews>
  <sheetFormatPr baseColWidth="10" defaultRowHeight="15"/>
  <cols>
    <col min="1" max="1" width="26.7109375" bestFit="1" customWidth="1"/>
    <col min="2" max="2" width="11.85546875" customWidth="1"/>
    <col min="3" max="3" width="12.28515625" customWidth="1"/>
    <col min="4" max="4" width="13.140625" customWidth="1"/>
    <col min="5" max="5" width="14.85546875" bestFit="1" customWidth="1"/>
    <col min="6" max="6" width="14.7109375" bestFit="1" customWidth="1"/>
    <col min="7" max="7" width="14.42578125" bestFit="1" customWidth="1"/>
    <col min="8" max="8" width="16" bestFit="1" customWidth="1"/>
    <col min="9" max="9" width="17.5703125" bestFit="1" customWidth="1"/>
    <col min="10" max="10" width="12.5703125" bestFit="1" customWidth="1"/>
    <col min="11" max="11" width="13" customWidth="1"/>
    <col min="12" max="12" width="14.7109375" bestFit="1" customWidth="1"/>
    <col min="13" max="13" width="14.5703125" bestFit="1" customWidth="1"/>
    <col min="14" max="14" width="13" bestFit="1" customWidth="1"/>
    <col min="15" max="15" width="15.140625" bestFit="1" customWidth="1"/>
    <col min="16" max="16" width="17.42578125" bestFit="1" customWidth="1"/>
    <col min="17" max="17" width="12.5703125" bestFit="1" customWidth="1"/>
    <col min="18" max="18" width="13.42578125" customWidth="1"/>
    <col min="19" max="19" width="14.7109375" bestFit="1" customWidth="1"/>
    <col min="20" max="20" width="14.5703125" bestFit="1" customWidth="1"/>
    <col min="21" max="21" width="13" bestFit="1" customWidth="1"/>
    <col min="22" max="22" width="15.140625" bestFit="1" customWidth="1"/>
    <col min="23" max="23" width="17.42578125" bestFit="1" customWidth="1"/>
    <col min="24" max="25" width="17.5703125" customWidth="1"/>
    <col min="26" max="27" width="18.42578125" customWidth="1"/>
    <col min="28" max="30" width="13.140625" customWidth="1"/>
    <col min="31" max="31" width="14" customWidth="1"/>
    <col min="32" max="32" width="12.5703125" bestFit="1" customWidth="1"/>
    <col min="33" max="33" width="11.5703125" customWidth="1"/>
    <col min="34" max="34" width="15.140625" customWidth="1"/>
    <col min="35" max="35" width="13.5703125" style="17" customWidth="1"/>
    <col min="36" max="36" width="14.28515625" customWidth="1"/>
    <col min="37" max="37" width="12.5703125" bestFit="1" customWidth="1"/>
  </cols>
  <sheetData>
    <row r="1" spans="1:37" ht="15.75" thickBot="1">
      <c r="A1" s="14" t="s">
        <v>58</v>
      </c>
      <c r="B1" s="193"/>
      <c r="C1" s="16" t="s">
        <v>60</v>
      </c>
      <c r="D1" s="16"/>
      <c r="X1" s="374" t="s">
        <v>72</v>
      </c>
      <c r="Y1" s="375"/>
      <c r="Z1" s="375"/>
      <c r="AA1" s="375"/>
      <c r="AB1" s="375"/>
      <c r="AC1" s="375"/>
      <c r="AD1" s="375"/>
      <c r="AE1" s="376"/>
      <c r="AF1" s="377" t="s">
        <v>100</v>
      </c>
      <c r="AG1" s="378"/>
      <c r="AH1" s="381" t="s">
        <v>101</v>
      </c>
      <c r="AI1" s="384" t="s">
        <v>102</v>
      </c>
      <c r="AJ1" s="385"/>
    </row>
    <row r="2" spans="1:37">
      <c r="X2" s="388" t="s">
        <v>103</v>
      </c>
      <c r="Y2" s="389"/>
      <c r="Z2" s="390" t="s">
        <v>104</v>
      </c>
      <c r="AA2" s="391"/>
      <c r="AB2" s="392" t="s">
        <v>105</v>
      </c>
      <c r="AC2" s="393"/>
      <c r="AD2" s="394" t="s">
        <v>106</v>
      </c>
      <c r="AE2" s="395"/>
      <c r="AF2" s="379"/>
      <c r="AG2" s="380"/>
      <c r="AH2" s="382"/>
      <c r="AI2" s="384"/>
      <c r="AJ2" s="385"/>
    </row>
    <row r="3" spans="1:37" s="4" customFormat="1">
      <c r="C3" s="275" t="s">
        <v>52</v>
      </c>
      <c r="D3" s="276"/>
      <c r="E3" s="276"/>
      <c r="F3" s="276"/>
      <c r="G3" s="276"/>
      <c r="H3" s="276"/>
      <c r="I3" s="277"/>
      <c r="J3" s="280" t="s">
        <v>38</v>
      </c>
      <c r="K3" s="281"/>
      <c r="L3" s="281"/>
      <c r="M3" s="281"/>
      <c r="N3" s="281"/>
      <c r="O3" s="281"/>
      <c r="P3" s="282"/>
      <c r="Q3" s="292" t="s">
        <v>39</v>
      </c>
      <c r="R3" s="293"/>
      <c r="S3" s="293"/>
      <c r="T3" s="293"/>
      <c r="U3" s="293"/>
      <c r="V3" s="293"/>
      <c r="W3" s="294"/>
      <c r="X3" s="402" t="s">
        <v>85</v>
      </c>
      <c r="Y3" s="403"/>
      <c r="Z3" s="396" t="s">
        <v>107</v>
      </c>
      <c r="AA3" s="397"/>
      <c r="AB3" s="398" t="s">
        <v>81</v>
      </c>
      <c r="AC3" s="399"/>
      <c r="AD3" s="404" t="s">
        <v>81</v>
      </c>
      <c r="AE3" s="405"/>
      <c r="AF3" s="400" t="s">
        <v>108</v>
      </c>
      <c r="AG3" s="401"/>
      <c r="AH3" s="383"/>
      <c r="AI3" s="386"/>
      <c r="AJ3" s="387"/>
    </row>
    <row r="4" spans="1:37">
      <c r="C4" s="278" t="s">
        <v>37</v>
      </c>
      <c r="D4" s="119"/>
      <c r="E4" s="285" t="s">
        <v>89</v>
      </c>
      <c r="F4" s="286"/>
      <c r="G4" s="286"/>
      <c r="H4" s="286"/>
      <c r="I4" s="287"/>
      <c r="J4" s="283" t="s">
        <v>37</v>
      </c>
      <c r="K4" s="120"/>
      <c r="L4" s="288" t="s">
        <v>89</v>
      </c>
      <c r="M4" s="289"/>
      <c r="N4" s="289"/>
      <c r="O4" s="289"/>
      <c r="P4" s="290"/>
      <c r="Q4" s="299" t="s">
        <v>37</v>
      </c>
      <c r="R4" s="121"/>
      <c r="S4" s="301" t="s">
        <v>89</v>
      </c>
      <c r="T4" s="302"/>
      <c r="U4" s="302"/>
      <c r="V4" s="302"/>
      <c r="W4" s="303"/>
      <c r="X4" s="89" t="s">
        <v>37</v>
      </c>
      <c r="Y4" s="89" t="s">
        <v>109</v>
      </c>
      <c r="Z4" s="90" t="s">
        <v>37</v>
      </c>
      <c r="AA4" s="90" t="s">
        <v>109</v>
      </c>
      <c r="AB4" s="91" t="s">
        <v>37</v>
      </c>
      <c r="AC4" s="91" t="s">
        <v>109</v>
      </c>
      <c r="AD4" s="92" t="s">
        <v>37</v>
      </c>
      <c r="AE4" s="92" t="s">
        <v>109</v>
      </c>
      <c r="AF4" s="93" t="s">
        <v>37</v>
      </c>
      <c r="AG4" s="93" t="s">
        <v>109</v>
      </c>
      <c r="AH4" s="94" t="s">
        <v>109</v>
      </c>
      <c r="AI4" s="95" t="s">
        <v>37</v>
      </c>
      <c r="AJ4" s="96" t="s">
        <v>109</v>
      </c>
    </row>
    <row r="5" spans="1:37">
      <c r="B5" s="1" t="s">
        <v>160</v>
      </c>
      <c r="C5" s="279"/>
      <c r="D5" s="83" t="s">
        <v>92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284"/>
      <c r="K5" s="85" t="s">
        <v>92</v>
      </c>
      <c r="L5" s="8" t="s">
        <v>31</v>
      </c>
      <c r="M5" s="8" t="s">
        <v>32</v>
      </c>
      <c r="N5" s="8" t="s">
        <v>33</v>
      </c>
      <c r="O5" s="8" t="s">
        <v>34</v>
      </c>
      <c r="P5" s="8" t="s">
        <v>35</v>
      </c>
      <c r="Q5" s="300"/>
      <c r="R5" s="84" t="s">
        <v>92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89" t="s">
        <v>110</v>
      </c>
      <c r="Y5" s="89" t="s">
        <v>111</v>
      </c>
      <c r="Z5" s="90" t="s">
        <v>110</v>
      </c>
      <c r="AA5" s="90" t="s">
        <v>111</v>
      </c>
      <c r="AB5" s="91" t="s">
        <v>110</v>
      </c>
      <c r="AC5" s="91" t="s">
        <v>111</v>
      </c>
      <c r="AD5" s="92" t="s">
        <v>110</v>
      </c>
      <c r="AE5" s="92" t="s">
        <v>111</v>
      </c>
      <c r="AF5" s="93" t="s">
        <v>110</v>
      </c>
      <c r="AG5" s="93" t="s">
        <v>111</v>
      </c>
      <c r="AH5" s="94" t="s">
        <v>111</v>
      </c>
      <c r="AI5" s="95" t="s">
        <v>110</v>
      </c>
      <c r="AJ5" s="96" t="s">
        <v>111</v>
      </c>
    </row>
    <row r="6" spans="1:37">
      <c r="A6" s="1" t="s">
        <v>49</v>
      </c>
      <c r="B6" s="1" t="s">
        <v>161</v>
      </c>
      <c r="C6" s="112">
        <v>1</v>
      </c>
      <c r="D6" s="178">
        <f>SUM(E6:I6)</f>
        <v>151591.78</v>
      </c>
      <c r="E6" s="178">
        <v>3283.01</v>
      </c>
      <c r="F6" s="178">
        <v>407.29</v>
      </c>
      <c r="G6" s="178">
        <v>29545.63</v>
      </c>
      <c r="H6" s="178">
        <v>102348</v>
      </c>
      <c r="I6" s="178">
        <v>16007.85</v>
      </c>
      <c r="J6" s="112">
        <v>33</v>
      </c>
      <c r="K6" s="178">
        <f>SUM(L6:P6)</f>
        <v>858576.66</v>
      </c>
      <c r="L6" s="178">
        <v>40586.379999999997</v>
      </c>
      <c r="M6" s="178">
        <v>0</v>
      </c>
      <c r="N6" s="178">
        <v>4162.8900000000003</v>
      </c>
      <c r="O6" s="178">
        <v>642410.36</v>
      </c>
      <c r="P6" s="178">
        <v>171417.03</v>
      </c>
      <c r="Q6" s="112">
        <v>326</v>
      </c>
      <c r="R6" s="178">
        <f>SUM(S6:W6)</f>
        <v>151237.06</v>
      </c>
      <c r="S6" s="178">
        <v>31529.38</v>
      </c>
      <c r="T6" s="178">
        <v>6726.53</v>
      </c>
      <c r="U6" s="178">
        <v>14314.63</v>
      </c>
      <c r="V6" s="178">
        <v>61361.52</v>
      </c>
      <c r="W6" s="178">
        <v>37305</v>
      </c>
      <c r="X6" s="97"/>
      <c r="Y6" s="97"/>
      <c r="Z6" s="98"/>
      <c r="AA6" s="99"/>
      <c r="AB6" s="98"/>
      <c r="AC6" s="99"/>
      <c r="AD6" s="98">
        <v>12586</v>
      </c>
      <c r="AE6" s="99">
        <v>48847115.740000002</v>
      </c>
      <c r="AF6" s="100"/>
      <c r="AG6" s="101"/>
      <c r="AH6" s="214">
        <v>3185460.753</v>
      </c>
      <c r="AI6" s="182">
        <f>SUM(C6,J6,Q6,X6,Z6,AB6,AD6,AF6)</f>
        <v>12946</v>
      </c>
      <c r="AJ6" s="182">
        <f>D6+K6+R6+Y6+AA6+AC6+AE6+AG6</f>
        <v>50008521.240000002</v>
      </c>
      <c r="AK6" s="258"/>
    </row>
    <row r="7" spans="1:37">
      <c r="A7" s="1" t="s">
        <v>43</v>
      </c>
      <c r="B7" s="1" t="s">
        <v>161</v>
      </c>
      <c r="C7" s="112">
        <v>15</v>
      </c>
      <c r="D7" s="178">
        <f t="shared" ref="D7:D33" si="0">SUM(E7:I7)</f>
        <v>197281.1</v>
      </c>
      <c r="E7" s="178">
        <v>4216.8500000000004</v>
      </c>
      <c r="F7" s="178">
        <v>0</v>
      </c>
      <c r="G7" s="178">
        <v>45.26</v>
      </c>
      <c r="H7" s="178">
        <v>190534.09</v>
      </c>
      <c r="I7" s="178">
        <v>2484.9</v>
      </c>
      <c r="J7" s="112">
        <v>116</v>
      </c>
      <c r="K7" s="178">
        <f t="shared" ref="K7:K33" si="1">SUM(L7:P7)</f>
        <v>440021.75999999995</v>
      </c>
      <c r="L7" s="178">
        <v>88199.56</v>
      </c>
      <c r="M7" s="178">
        <v>0</v>
      </c>
      <c r="N7" s="178">
        <v>702.98</v>
      </c>
      <c r="O7" s="178">
        <v>298485.73</v>
      </c>
      <c r="P7" s="178">
        <v>52633.49</v>
      </c>
      <c r="Q7" s="112">
        <v>41</v>
      </c>
      <c r="R7" s="178">
        <f t="shared" ref="R7:R33" si="2">SUM(S7:W7)</f>
        <v>194815.41999999998</v>
      </c>
      <c r="S7" s="178">
        <v>18884.25</v>
      </c>
      <c r="T7" s="178">
        <v>2727.01</v>
      </c>
      <c r="U7" s="178">
        <v>41589.629999999997</v>
      </c>
      <c r="V7" s="178">
        <v>47845.22</v>
      </c>
      <c r="W7" s="178">
        <v>83769.31</v>
      </c>
      <c r="X7" s="97"/>
      <c r="Y7" s="102"/>
      <c r="Z7" s="97"/>
      <c r="AA7" s="102"/>
      <c r="AB7" s="97"/>
      <c r="AC7" s="102"/>
      <c r="AD7" s="97"/>
      <c r="AE7" s="102"/>
      <c r="AF7" s="100"/>
      <c r="AG7" s="101"/>
      <c r="AH7" s="181"/>
      <c r="AI7" s="182">
        <f t="shared" ref="AI7:AI32" si="3">SUM(C7,J7,Q7,X7,Z7,AB7,AD7,AF7)</f>
        <v>172</v>
      </c>
      <c r="AJ7" s="182">
        <f t="shared" ref="AJ7:AJ32" si="4">D7+K7+R7+Y7+AA7+AC7+AE7+AG7</f>
        <v>832118.28</v>
      </c>
    </row>
    <row r="8" spans="1:37">
      <c r="A8" s="1" t="s">
        <v>163</v>
      </c>
      <c r="B8" s="1" t="s">
        <v>161</v>
      </c>
      <c r="C8" s="112"/>
      <c r="D8" s="178">
        <f t="shared" si="0"/>
        <v>0</v>
      </c>
      <c r="E8" s="178"/>
      <c r="F8" s="178"/>
      <c r="G8" s="178"/>
      <c r="H8" s="178"/>
      <c r="I8" s="178"/>
      <c r="J8" s="112">
        <v>0</v>
      </c>
      <c r="K8" s="178">
        <f t="shared" si="1"/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12"/>
      <c r="R8" s="178">
        <f t="shared" si="2"/>
        <v>0</v>
      </c>
      <c r="S8" s="178"/>
      <c r="T8" s="178"/>
      <c r="U8" s="178"/>
      <c r="V8" s="178"/>
      <c r="W8" s="178"/>
      <c r="X8" s="97"/>
      <c r="Y8" s="102"/>
      <c r="Z8" s="97"/>
      <c r="AA8" s="102"/>
      <c r="AB8" s="97"/>
      <c r="AC8" s="102"/>
      <c r="AD8" s="97"/>
      <c r="AE8" s="102"/>
      <c r="AF8" s="100"/>
      <c r="AG8" s="101"/>
      <c r="AH8" s="181"/>
      <c r="AI8" s="182">
        <f t="shared" si="3"/>
        <v>0</v>
      </c>
      <c r="AJ8" s="182">
        <f t="shared" si="4"/>
        <v>0</v>
      </c>
    </row>
    <row r="9" spans="1:37">
      <c r="A9" s="1" t="s">
        <v>164</v>
      </c>
      <c r="B9" s="1" t="s">
        <v>161</v>
      </c>
      <c r="C9" s="112">
        <v>0</v>
      </c>
      <c r="D9" s="178">
        <f t="shared" si="0"/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12">
        <v>0</v>
      </c>
      <c r="K9" s="178">
        <f t="shared" si="1"/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12">
        <v>1</v>
      </c>
      <c r="R9" s="178">
        <f t="shared" si="2"/>
        <v>40.380000000000003</v>
      </c>
      <c r="S9" s="178">
        <v>12.9</v>
      </c>
      <c r="T9" s="178">
        <v>20.239999999999998</v>
      </c>
      <c r="U9" s="178">
        <v>7.24</v>
      </c>
      <c r="V9" s="178">
        <v>0</v>
      </c>
      <c r="W9" s="178">
        <v>0</v>
      </c>
      <c r="X9" s="97"/>
      <c r="Y9" s="102"/>
      <c r="Z9" s="97"/>
      <c r="AA9" s="102"/>
      <c r="AB9" s="97"/>
      <c r="AC9" s="102"/>
      <c r="AD9" s="97"/>
      <c r="AE9" s="102"/>
      <c r="AF9" s="100"/>
      <c r="AG9" s="101"/>
      <c r="AH9" s="181"/>
      <c r="AI9" s="182">
        <f t="shared" si="3"/>
        <v>1</v>
      </c>
      <c r="AJ9" s="182">
        <f t="shared" si="4"/>
        <v>40.380000000000003</v>
      </c>
    </row>
    <row r="10" spans="1:37">
      <c r="A10" s="1" t="s">
        <v>165</v>
      </c>
      <c r="B10" s="1" t="s">
        <v>161</v>
      </c>
      <c r="C10" s="112"/>
      <c r="D10" s="178">
        <f t="shared" si="0"/>
        <v>0</v>
      </c>
      <c r="E10" s="178"/>
      <c r="F10" s="178"/>
      <c r="G10" s="178"/>
      <c r="H10" s="178"/>
      <c r="I10" s="178"/>
      <c r="J10" s="112">
        <v>0</v>
      </c>
      <c r="K10" s="178">
        <f t="shared" si="1"/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12">
        <v>0</v>
      </c>
      <c r="R10" s="178">
        <f t="shared" si="2"/>
        <v>0</v>
      </c>
      <c r="S10" s="178">
        <v>0</v>
      </c>
      <c r="T10" s="178">
        <v>0</v>
      </c>
      <c r="U10" s="178">
        <v>0</v>
      </c>
      <c r="V10" s="178">
        <v>0</v>
      </c>
      <c r="W10" s="178">
        <v>0</v>
      </c>
      <c r="X10" s="97"/>
      <c r="Y10" s="102"/>
      <c r="Z10" s="97"/>
      <c r="AA10" s="102"/>
      <c r="AB10" s="97"/>
      <c r="AC10" s="102"/>
      <c r="AD10" s="97"/>
      <c r="AE10" s="102"/>
      <c r="AF10" s="100"/>
      <c r="AG10" s="101"/>
      <c r="AH10" s="181"/>
      <c r="AI10" s="182">
        <f t="shared" si="3"/>
        <v>0</v>
      </c>
      <c r="AJ10" s="182">
        <f t="shared" si="4"/>
        <v>0</v>
      </c>
    </row>
    <row r="11" spans="1:37">
      <c r="A11" s="1" t="s">
        <v>166</v>
      </c>
      <c r="B11" s="1" t="s">
        <v>161</v>
      </c>
      <c r="C11" s="112"/>
      <c r="D11" s="178">
        <f t="shared" si="0"/>
        <v>0</v>
      </c>
      <c r="E11" s="178"/>
      <c r="F11" s="178"/>
      <c r="G11" s="178"/>
      <c r="H11" s="178"/>
      <c r="I11" s="178"/>
      <c r="J11" s="112"/>
      <c r="K11" s="178">
        <f t="shared" si="1"/>
        <v>0</v>
      </c>
      <c r="L11" s="178"/>
      <c r="M11" s="178"/>
      <c r="N11" s="178"/>
      <c r="O11" s="178"/>
      <c r="P11" s="178"/>
      <c r="Q11" s="112">
        <v>0</v>
      </c>
      <c r="R11" s="178">
        <f t="shared" si="2"/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v>0</v>
      </c>
      <c r="X11" s="97"/>
      <c r="Y11" s="102"/>
      <c r="Z11" s="97"/>
      <c r="AA11" s="102"/>
      <c r="AB11" s="97"/>
      <c r="AC11" s="102"/>
      <c r="AD11" s="97"/>
      <c r="AE11" s="102"/>
      <c r="AF11" s="100"/>
      <c r="AG11" s="101"/>
      <c r="AH11" s="181"/>
      <c r="AI11" s="182">
        <f t="shared" si="3"/>
        <v>0</v>
      </c>
      <c r="AJ11" s="182">
        <f t="shared" si="4"/>
        <v>0</v>
      </c>
    </row>
    <row r="12" spans="1:37">
      <c r="A12" s="1" t="s">
        <v>167</v>
      </c>
      <c r="B12" s="1" t="s">
        <v>161</v>
      </c>
      <c r="C12" s="112"/>
      <c r="D12" s="178">
        <f t="shared" si="0"/>
        <v>0</v>
      </c>
      <c r="E12" s="178"/>
      <c r="F12" s="178"/>
      <c r="G12" s="178"/>
      <c r="H12" s="178"/>
      <c r="I12" s="178"/>
      <c r="J12" s="112"/>
      <c r="K12" s="178">
        <f t="shared" si="1"/>
        <v>0</v>
      </c>
      <c r="L12" s="178"/>
      <c r="M12" s="178"/>
      <c r="N12" s="178"/>
      <c r="O12" s="178"/>
      <c r="P12" s="178"/>
      <c r="Q12" s="112">
        <v>0</v>
      </c>
      <c r="R12" s="178">
        <f t="shared" si="2"/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0</v>
      </c>
      <c r="X12" s="97"/>
      <c r="Y12" s="102"/>
      <c r="Z12" s="97"/>
      <c r="AA12" s="102"/>
      <c r="AB12" s="97"/>
      <c r="AC12" s="102"/>
      <c r="AD12" s="97"/>
      <c r="AE12" s="102"/>
      <c r="AF12" s="100"/>
      <c r="AG12" s="101"/>
      <c r="AH12" s="181"/>
      <c r="AI12" s="182">
        <f t="shared" si="3"/>
        <v>0</v>
      </c>
      <c r="AJ12" s="182">
        <f t="shared" si="4"/>
        <v>0</v>
      </c>
    </row>
    <row r="13" spans="1:37">
      <c r="A13" s="1" t="s">
        <v>168</v>
      </c>
      <c r="B13" s="1" t="s">
        <v>161</v>
      </c>
      <c r="C13" s="112"/>
      <c r="D13" s="178">
        <f t="shared" si="0"/>
        <v>0</v>
      </c>
      <c r="E13" s="178"/>
      <c r="F13" s="178"/>
      <c r="G13" s="178"/>
      <c r="H13" s="178"/>
      <c r="I13" s="178"/>
      <c r="J13" s="112">
        <v>0</v>
      </c>
      <c r="K13" s="178">
        <f t="shared" si="1"/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12"/>
      <c r="R13" s="178">
        <f t="shared" si="2"/>
        <v>0</v>
      </c>
      <c r="S13" s="178"/>
      <c r="T13" s="178"/>
      <c r="U13" s="178"/>
      <c r="V13" s="178"/>
      <c r="W13" s="178"/>
      <c r="X13" s="97"/>
      <c r="Y13" s="102"/>
      <c r="Z13" s="97"/>
      <c r="AA13" s="102"/>
      <c r="AB13" s="97"/>
      <c r="AC13" s="102"/>
      <c r="AD13" s="97"/>
      <c r="AE13" s="102"/>
      <c r="AF13" s="100"/>
      <c r="AG13" s="101"/>
      <c r="AH13" s="181"/>
      <c r="AI13" s="182">
        <f t="shared" si="3"/>
        <v>0</v>
      </c>
      <c r="AJ13" s="182">
        <f t="shared" si="4"/>
        <v>0</v>
      </c>
    </row>
    <row r="14" spans="1:37">
      <c r="A14" s="1" t="s">
        <v>113</v>
      </c>
      <c r="B14" s="1" t="s">
        <v>161</v>
      </c>
      <c r="C14" s="112">
        <v>0</v>
      </c>
      <c r="D14" s="178">
        <f t="shared" si="0"/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12"/>
      <c r="K14" s="178">
        <f t="shared" si="1"/>
        <v>0</v>
      </c>
      <c r="L14" s="178"/>
      <c r="M14" s="178"/>
      <c r="N14" s="178"/>
      <c r="O14" s="178"/>
      <c r="P14" s="178"/>
      <c r="Q14" s="112">
        <v>0</v>
      </c>
      <c r="R14" s="178">
        <f t="shared" si="2"/>
        <v>0</v>
      </c>
      <c r="S14" s="178">
        <v>0</v>
      </c>
      <c r="T14" s="178">
        <v>0</v>
      </c>
      <c r="U14" s="178">
        <v>0</v>
      </c>
      <c r="V14" s="178">
        <v>0</v>
      </c>
      <c r="W14" s="178">
        <v>0</v>
      </c>
      <c r="X14" s="97"/>
      <c r="Y14" s="97"/>
      <c r="Z14" s="98"/>
      <c r="AA14" s="99"/>
      <c r="AB14" s="98"/>
      <c r="AC14" s="99"/>
      <c r="AD14" s="98"/>
      <c r="AE14" s="99"/>
      <c r="AF14" s="100"/>
      <c r="AG14" s="101"/>
      <c r="AH14" s="181"/>
      <c r="AI14" s="182">
        <f t="shared" si="3"/>
        <v>0</v>
      </c>
      <c r="AJ14" s="182">
        <f t="shared" si="4"/>
        <v>0</v>
      </c>
    </row>
    <row r="15" spans="1:37">
      <c r="A15" s="1" t="s">
        <v>169</v>
      </c>
      <c r="B15" s="1" t="s">
        <v>161</v>
      </c>
      <c r="C15" s="112">
        <v>0</v>
      </c>
      <c r="D15" s="178">
        <f t="shared" si="0"/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12">
        <v>1</v>
      </c>
      <c r="K15" s="178">
        <f t="shared" si="1"/>
        <v>1750.88</v>
      </c>
      <c r="L15" s="178">
        <v>887.65</v>
      </c>
      <c r="M15" s="178">
        <v>0</v>
      </c>
      <c r="N15" s="178">
        <v>0</v>
      </c>
      <c r="O15" s="178">
        <v>0</v>
      </c>
      <c r="P15" s="178">
        <v>863.23</v>
      </c>
      <c r="Q15" s="112"/>
      <c r="R15" s="178">
        <f t="shared" si="2"/>
        <v>0</v>
      </c>
      <c r="S15" s="178"/>
      <c r="T15" s="178"/>
      <c r="U15" s="178"/>
      <c r="V15" s="178"/>
      <c r="W15" s="178"/>
      <c r="X15" s="97"/>
      <c r="Y15" s="97"/>
      <c r="Z15" s="98"/>
      <c r="AA15" s="99"/>
      <c r="AB15" s="98"/>
      <c r="AC15" s="99"/>
      <c r="AD15" s="98"/>
      <c r="AE15" s="99"/>
      <c r="AF15" s="100"/>
      <c r="AG15" s="101"/>
      <c r="AH15" s="181"/>
      <c r="AI15" s="182">
        <f t="shared" si="3"/>
        <v>1</v>
      </c>
      <c r="AJ15" s="182">
        <f t="shared" si="4"/>
        <v>1750.88</v>
      </c>
    </row>
    <row r="16" spans="1:37">
      <c r="A16" s="1" t="s">
        <v>170</v>
      </c>
      <c r="B16" s="1" t="s">
        <v>161</v>
      </c>
      <c r="C16" s="112">
        <v>0</v>
      </c>
      <c r="D16" s="178">
        <f t="shared" si="0"/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12">
        <v>0</v>
      </c>
      <c r="K16" s="178">
        <f t="shared" si="1"/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12">
        <v>0</v>
      </c>
      <c r="R16" s="178">
        <f t="shared" si="2"/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97"/>
      <c r="Y16" s="97"/>
      <c r="Z16" s="98"/>
      <c r="AA16" s="99"/>
      <c r="AB16" s="98"/>
      <c r="AC16" s="99"/>
      <c r="AD16" s="98"/>
      <c r="AE16" s="99"/>
      <c r="AF16" s="100"/>
      <c r="AG16" s="101"/>
      <c r="AH16" s="181"/>
      <c r="AI16" s="182">
        <f t="shared" si="3"/>
        <v>0</v>
      </c>
      <c r="AJ16" s="182">
        <f t="shared" si="4"/>
        <v>0</v>
      </c>
    </row>
    <row r="17" spans="1:37">
      <c r="A17" s="1" t="s">
        <v>44</v>
      </c>
      <c r="B17" s="1" t="s">
        <v>161</v>
      </c>
      <c r="C17" s="210">
        <v>1</v>
      </c>
      <c r="D17" s="178">
        <f t="shared" si="0"/>
        <v>7881.95</v>
      </c>
      <c r="E17" s="214">
        <v>0</v>
      </c>
      <c r="F17" s="214">
        <v>0</v>
      </c>
      <c r="G17" s="214">
        <v>0</v>
      </c>
      <c r="H17" s="214">
        <v>7881.95</v>
      </c>
      <c r="I17" s="214">
        <v>0</v>
      </c>
      <c r="J17" s="210">
        <v>0</v>
      </c>
      <c r="K17" s="178">
        <f t="shared" si="1"/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1">
        <v>13</v>
      </c>
      <c r="R17" s="178">
        <f t="shared" si="2"/>
        <v>1143.02</v>
      </c>
      <c r="S17" s="214">
        <v>469.22</v>
      </c>
      <c r="T17" s="214">
        <v>278.36</v>
      </c>
      <c r="U17" s="214">
        <v>127.16</v>
      </c>
      <c r="V17" s="214">
        <v>0</v>
      </c>
      <c r="W17" s="214">
        <v>268.27999999999997</v>
      </c>
      <c r="X17" s="98"/>
      <c r="Y17" s="99"/>
      <c r="Z17" s="98"/>
      <c r="AA17" s="99"/>
      <c r="AB17" s="98"/>
      <c r="AC17" s="99"/>
      <c r="AD17" s="98"/>
      <c r="AE17" s="99"/>
      <c r="AF17" s="100"/>
      <c r="AG17" s="101"/>
      <c r="AH17" s="180"/>
      <c r="AI17" s="182">
        <f t="shared" si="3"/>
        <v>14</v>
      </c>
      <c r="AJ17" s="182">
        <f t="shared" si="4"/>
        <v>9024.9699999999993</v>
      </c>
    </row>
    <row r="18" spans="1:37">
      <c r="A18" s="49" t="s">
        <v>171</v>
      </c>
      <c r="B18" s="1" t="s">
        <v>161</v>
      </c>
      <c r="C18" s="210"/>
      <c r="D18" s="178">
        <f t="shared" si="0"/>
        <v>0</v>
      </c>
      <c r="E18" s="214"/>
      <c r="F18" s="214"/>
      <c r="G18" s="214"/>
      <c r="H18" s="214"/>
      <c r="I18" s="214"/>
      <c r="J18" s="212">
        <v>0</v>
      </c>
      <c r="K18" s="178">
        <f t="shared" si="1"/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1"/>
      <c r="R18" s="178">
        <f t="shared" si="2"/>
        <v>0</v>
      </c>
      <c r="S18" s="214"/>
      <c r="T18" s="214"/>
      <c r="U18" s="214"/>
      <c r="V18" s="214"/>
      <c r="W18" s="214"/>
      <c r="X18" s="98"/>
      <c r="Y18" s="99"/>
      <c r="Z18" s="98"/>
      <c r="AA18" s="99"/>
      <c r="AB18" s="98"/>
      <c r="AC18" s="99"/>
      <c r="AD18" s="98"/>
      <c r="AE18" s="99"/>
      <c r="AF18" s="100"/>
      <c r="AG18" s="101"/>
      <c r="AH18" s="180"/>
      <c r="AI18" s="182">
        <f t="shared" si="3"/>
        <v>0</v>
      </c>
      <c r="AJ18" s="182">
        <f t="shared" si="4"/>
        <v>0</v>
      </c>
    </row>
    <row r="19" spans="1:37" s="19" customFormat="1">
      <c r="A19" s="1" t="s">
        <v>46</v>
      </c>
      <c r="B19" s="1" t="s">
        <v>161</v>
      </c>
      <c r="C19" s="112">
        <v>0</v>
      </c>
      <c r="D19" s="178">
        <f t="shared" si="0"/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210">
        <v>1</v>
      </c>
      <c r="K19" s="178">
        <f t="shared" si="1"/>
        <v>4755.79</v>
      </c>
      <c r="L19" s="178">
        <v>92.15</v>
      </c>
      <c r="M19" s="178">
        <v>0</v>
      </c>
      <c r="N19" s="178">
        <v>0</v>
      </c>
      <c r="O19" s="178">
        <v>4482</v>
      </c>
      <c r="P19" s="178">
        <v>181.64</v>
      </c>
      <c r="Q19" s="112">
        <v>5</v>
      </c>
      <c r="R19" s="178">
        <f t="shared" si="2"/>
        <v>847.51999999999987</v>
      </c>
      <c r="S19" s="178">
        <v>478.53</v>
      </c>
      <c r="T19" s="178">
        <v>0</v>
      </c>
      <c r="U19" s="178">
        <v>123.82</v>
      </c>
      <c r="V19" s="178">
        <v>0</v>
      </c>
      <c r="W19" s="178">
        <v>245.17</v>
      </c>
      <c r="X19" s="98"/>
      <c r="Y19" s="99"/>
      <c r="Z19" s="98"/>
      <c r="AA19" s="99"/>
      <c r="AB19" s="98"/>
      <c r="AC19" s="99"/>
      <c r="AD19" s="97"/>
      <c r="AE19" s="97"/>
      <c r="AF19" s="100"/>
      <c r="AG19" s="101"/>
      <c r="AH19" s="216"/>
      <c r="AI19" s="182">
        <f t="shared" si="3"/>
        <v>6</v>
      </c>
      <c r="AJ19" s="182">
        <f t="shared" si="4"/>
        <v>5603.3099999999995</v>
      </c>
    </row>
    <row r="20" spans="1:37">
      <c r="A20" s="1" t="s">
        <v>47</v>
      </c>
      <c r="B20" s="1" t="s">
        <v>161</v>
      </c>
      <c r="C20" s="112">
        <v>0</v>
      </c>
      <c r="D20" s="178">
        <f t="shared" si="0"/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12">
        <v>2</v>
      </c>
      <c r="K20" s="178">
        <f t="shared" si="1"/>
        <v>548.28</v>
      </c>
      <c r="L20" s="178">
        <v>174.33</v>
      </c>
      <c r="M20" s="178">
        <v>0</v>
      </c>
      <c r="N20" s="178">
        <v>63.75</v>
      </c>
      <c r="O20" s="178">
        <v>0</v>
      </c>
      <c r="P20" s="178">
        <v>310.2</v>
      </c>
      <c r="Q20" s="112">
        <v>57</v>
      </c>
      <c r="R20" s="178">
        <f t="shared" si="2"/>
        <v>120994.41</v>
      </c>
      <c r="S20" s="178">
        <v>12458.09</v>
      </c>
      <c r="T20" s="178">
        <v>663.82</v>
      </c>
      <c r="U20" s="178">
        <v>19171.55</v>
      </c>
      <c r="V20" s="178">
        <v>35258.79</v>
      </c>
      <c r="W20" s="178">
        <v>53442.16</v>
      </c>
      <c r="X20" s="98"/>
      <c r="Y20" s="99"/>
      <c r="Z20" s="98"/>
      <c r="AA20" s="99"/>
      <c r="AB20" s="98"/>
      <c r="AC20" s="99"/>
      <c r="AD20" s="97"/>
      <c r="AE20" s="97"/>
      <c r="AF20" s="100">
        <v>5</v>
      </c>
      <c r="AG20" s="101">
        <v>402.5</v>
      </c>
      <c r="AH20" s="216">
        <v>9723.41</v>
      </c>
      <c r="AI20" s="182">
        <f t="shared" si="3"/>
        <v>64</v>
      </c>
      <c r="AJ20" s="182">
        <f t="shared" si="4"/>
        <v>121945.19</v>
      </c>
    </row>
    <row r="21" spans="1:37">
      <c r="A21" s="1" t="s">
        <v>172</v>
      </c>
      <c r="B21" s="1" t="s">
        <v>161</v>
      </c>
      <c r="C21" s="112"/>
      <c r="D21" s="178">
        <f t="shared" si="0"/>
        <v>0</v>
      </c>
      <c r="E21" s="178"/>
      <c r="F21" s="178"/>
      <c r="G21" s="178"/>
      <c r="H21" s="178"/>
      <c r="I21" s="178"/>
      <c r="J21" s="112"/>
      <c r="K21" s="178">
        <f t="shared" si="1"/>
        <v>0</v>
      </c>
      <c r="L21" s="178"/>
      <c r="M21" s="178"/>
      <c r="N21" s="178"/>
      <c r="O21" s="178"/>
      <c r="P21" s="178"/>
      <c r="Q21" s="112"/>
      <c r="R21" s="178">
        <f t="shared" si="2"/>
        <v>0</v>
      </c>
      <c r="S21" s="178"/>
      <c r="T21" s="178"/>
      <c r="U21" s="178"/>
      <c r="V21" s="178"/>
      <c r="W21" s="178"/>
      <c r="X21" s="98"/>
      <c r="Y21" s="99"/>
      <c r="Z21" s="98"/>
      <c r="AA21" s="99"/>
      <c r="AB21" s="98"/>
      <c r="AC21" s="99"/>
      <c r="AD21" s="97"/>
      <c r="AE21" s="97"/>
      <c r="AF21" s="100"/>
      <c r="AG21" s="101"/>
      <c r="AH21" s="216"/>
      <c r="AI21" s="182">
        <f t="shared" si="3"/>
        <v>0</v>
      </c>
      <c r="AJ21" s="182">
        <f t="shared" si="4"/>
        <v>0</v>
      </c>
    </row>
    <row r="22" spans="1:37">
      <c r="A22" s="1" t="s">
        <v>112</v>
      </c>
      <c r="B22" s="1" t="s">
        <v>161</v>
      </c>
      <c r="C22" s="112">
        <v>0</v>
      </c>
      <c r="D22" s="178">
        <f t="shared" si="0"/>
        <v>0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12">
        <v>0</v>
      </c>
      <c r="K22" s="178">
        <f t="shared" si="1"/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12">
        <v>6</v>
      </c>
      <c r="R22" s="178">
        <f t="shared" si="2"/>
        <v>1322.72</v>
      </c>
      <c r="S22" s="178">
        <v>449.08</v>
      </c>
      <c r="T22" s="178">
        <v>0</v>
      </c>
      <c r="U22" s="178">
        <v>56.87</v>
      </c>
      <c r="V22" s="178">
        <v>357.58</v>
      </c>
      <c r="W22" s="178">
        <v>459.19</v>
      </c>
      <c r="X22" s="97"/>
      <c r="Y22" s="102"/>
      <c r="Z22" s="97"/>
      <c r="AA22" s="102"/>
      <c r="AB22" s="97"/>
      <c r="AC22" s="102"/>
      <c r="AD22" s="97"/>
      <c r="AE22" s="102"/>
      <c r="AF22" s="100"/>
      <c r="AG22" s="101"/>
      <c r="AH22" s="217"/>
      <c r="AI22" s="182">
        <f t="shared" si="3"/>
        <v>6</v>
      </c>
      <c r="AJ22" s="182">
        <f t="shared" si="4"/>
        <v>1322.72</v>
      </c>
    </row>
    <row r="23" spans="1:37">
      <c r="A23" s="1" t="s">
        <v>173</v>
      </c>
      <c r="B23" s="1" t="s">
        <v>161</v>
      </c>
      <c r="C23" s="112">
        <v>0</v>
      </c>
      <c r="D23" s="178">
        <f t="shared" si="0"/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12">
        <v>0</v>
      </c>
      <c r="K23" s="178">
        <f t="shared" si="1"/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12"/>
      <c r="R23" s="178">
        <f t="shared" si="2"/>
        <v>0</v>
      </c>
      <c r="S23" s="178"/>
      <c r="T23" s="178"/>
      <c r="U23" s="178"/>
      <c r="V23" s="178"/>
      <c r="W23" s="178"/>
      <c r="X23" s="97"/>
      <c r="Y23" s="102"/>
      <c r="Z23" s="97"/>
      <c r="AA23" s="102"/>
      <c r="AB23" s="97"/>
      <c r="AC23" s="102"/>
      <c r="AD23" s="97"/>
      <c r="AE23" s="102"/>
      <c r="AF23" s="100"/>
      <c r="AG23" s="101"/>
      <c r="AH23" s="217"/>
      <c r="AI23" s="182">
        <f t="shared" si="3"/>
        <v>0</v>
      </c>
      <c r="AJ23" s="182">
        <f t="shared" si="4"/>
        <v>0</v>
      </c>
    </row>
    <row r="24" spans="1:37">
      <c r="A24" s="1" t="s">
        <v>51</v>
      </c>
      <c r="B24" s="1" t="s">
        <v>162</v>
      </c>
      <c r="C24" s="112">
        <v>345</v>
      </c>
      <c r="D24" s="178">
        <f t="shared" si="0"/>
        <v>649297.19999999995</v>
      </c>
      <c r="E24" s="178">
        <v>72124.070000000007</v>
      </c>
      <c r="F24" s="178">
        <v>2187.77</v>
      </c>
      <c r="G24" s="178">
        <v>43090.26</v>
      </c>
      <c r="H24" s="178">
        <v>446912.98</v>
      </c>
      <c r="I24" s="178">
        <v>84982.12</v>
      </c>
      <c r="J24" s="112">
        <v>114</v>
      </c>
      <c r="K24" s="178">
        <f t="shared" si="1"/>
        <v>391272.32</v>
      </c>
      <c r="L24" s="178">
        <v>44303.519999999997</v>
      </c>
      <c r="M24" s="178">
        <v>1430.3</v>
      </c>
      <c r="N24" s="178">
        <v>42812.28</v>
      </c>
      <c r="O24" s="178">
        <v>212652.83</v>
      </c>
      <c r="P24" s="178">
        <v>90073.39</v>
      </c>
      <c r="Q24" s="112">
        <v>358</v>
      </c>
      <c r="R24" s="178">
        <f t="shared" si="2"/>
        <v>1535368.16</v>
      </c>
      <c r="S24" s="178">
        <v>129380.29</v>
      </c>
      <c r="T24" s="178">
        <v>14704.25</v>
      </c>
      <c r="U24" s="178">
        <v>151965.97</v>
      </c>
      <c r="V24" s="178">
        <v>926492.94</v>
      </c>
      <c r="W24" s="178">
        <v>312824.71000000002</v>
      </c>
      <c r="X24" s="97"/>
      <c r="Y24" s="102"/>
      <c r="Z24" s="97"/>
      <c r="AA24" s="102"/>
      <c r="AB24" s="97"/>
      <c r="AC24" s="102"/>
      <c r="AD24" s="97"/>
      <c r="AE24" s="102"/>
      <c r="AF24" s="100"/>
      <c r="AG24" s="101"/>
      <c r="AH24" s="181"/>
      <c r="AI24" s="182">
        <f t="shared" si="3"/>
        <v>817</v>
      </c>
      <c r="AJ24" s="182">
        <f t="shared" si="4"/>
        <v>2575937.6799999997</v>
      </c>
      <c r="AK24" s="46"/>
    </row>
    <row r="25" spans="1:37">
      <c r="A25" s="1" t="s">
        <v>50</v>
      </c>
      <c r="B25" s="1" t="s">
        <v>162</v>
      </c>
      <c r="C25" s="112">
        <v>78</v>
      </c>
      <c r="D25" s="178">
        <f t="shared" si="0"/>
        <v>206597.96000000002</v>
      </c>
      <c r="E25" s="178">
        <v>63721.46</v>
      </c>
      <c r="F25" s="178">
        <v>736.07</v>
      </c>
      <c r="G25" s="178">
        <v>8626.2999999999993</v>
      </c>
      <c r="H25" s="178">
        <v>117393.13</v>
      </c>
      <c r="I25" s="178">
        <v>16121</v>
      </c>
      <c r="J25" s="112">
        <v>22</v>
      </c>
      <c r="K25" s="178">
        <f t="shared" si="1"/>
        <v>169709.28999999998</v>
      </c>
      <c r="L25" s="178">
        <v>28252.68</v>
      </c>
      <c r="M25" s="178">
        <v>50.6</v>
      </c>
      <c r="N25" s="178">
        <v>26228.01</v>
      </c>
      <c r="O25" s="178">
        <v>65508.53</v>
      </c>
      <c r="P25" s="178">
        <v>49669.47</v>
      </c>
      <c r="Q25" s="112">
        <v>209</v>
      </c>
      <c r="R25" s="178">
        <f t="shared" si="2"/>
        <v>580172.87</v>
      </c>
      <c r="S25" s="178">
        <v>70075.7</v>
      </c>
      <c r="T25" s="178">
        <v>7207.9</v>
      </c>
      <c r="U25" s="178">
        <v>94902.43</v>
      </c>
      <c r="V25" s="178">
        <v>224060.12</v>
      </c>
      <c r="W25" s="178">
        <v>183926.72</v>
      </c>
      <c r="X25" s="98"/>
      <c r="Y25" s="99"/>
      <c r="Z25" s="98"/>
      <c r="AA25" s="99"/>
      <c r="AB25" s="98"/>
      <c r="AC25" s="99"/>
      <c r="AD25" s="98"/>
      <c r="AE25" s="99"/>
      <c r="AF25" s="100"/>
      <c r="AG25" s="101"/>
      <c r="AH25" s="217">
        <v>50215.21</v>
      </c>
      <c r="AI25" s="182">
        <f t="shared" si="3"/>
        <v>309</v>
      </c>
      <c r="AJ25" s="182">
        <f t="shared" si="4"/>
        <v>956480.12</v>
      </c>
    </row>
    <row r="26" spans="1:37">
      <c r="A26" s="1" t="s">
        <v>183</v>
      </c>
      <c r="B26" s="1" t="s">
        <v>161</v>
      </c>
      <c r="C26" s="112">
        <v>42</v>
      </c>
      <c r="D26" s="178">
        <f t="shared" si="0"/>
        <v>16168.039999999999</v>
      </c>
      <c r="E26" s="178">
        <v>2190.63</v>
      </c>
      <c r="F26" s="178">
        <v>371.12</v>
      </c>
      <c r="G26" s="178">
        <v>1533.8</v>
      </c>
      <c r="H26" s="178">
        <v>10862.32</v>
      </c>
      <c r="I26" s="178">
        <v>1210.17</v>
      </c>
      <c r="J26" s="112">
        <v>16</v>
      </c>
      <c r="K26" s="178">
        <f t="shared" si="1"/>
        <v>77173.850000000006</v>
      </c>
      <c r="L26" s="178">
        <v>2063.17</v>
      </c>
      <c r="M26" s="178">
        <v>53.98</v>
      </c>
      <c r="N26" s="178">
        <v>47.64</v>
      </c>
      <c r="O26" s="178">
        <v>57039.42</v>
      </c>
      <c r="P26" s="178">
        <v>17969.64</v>
      </c>
      <c r="Q26" s="112">
        <v>256</v>
      </c>
      <c r="R26" s="178">
        <f t="shared" si="2"/>
        <v>156318.51</v>
      </c>
      <c r="S26" s="178">
        <v>30215.33</v>
      </c>
      <c r="T26" s="178">
        <v>2772.3500000000004</v>
      </c>
      <c r="U26" s="178">
        <v>11899.630000000001</v>
      </c>
      <c r="V26" s="178">
        <v>78513.77</v>
      </c>
      <c r="W26" s="178">
        <v>32917.43</v>
      </c>
      <c r="X26" s="97"/>
      <c r="Y26" s="102"/>
      <c r="Z26" s="97"/>
      <c r="AA26" s="102"/>
      <c r="AB26" s="97"/>
      <c r="AC26" s="102"/>
      <c r="AD26" s="97"/>
      <c r="AE26" s="102"/>
      <c r="AF26" s="100">
        <v>1</v>
      </c>
      <c r="AG26" s="101">
        <v>80.5</v>
      </c>
      <c r="AH26" s="181"/>
      <c r="AI26" s="182">
        <f t="shared" si="3"/>
        <v>315</v>
      </c>
      <c r="AJ26" s="182">
        <f t="shared" si="4"/>
        <v>249740.90000000002</v>
      </c>
    </row>
    <row r="27" spans="1:37">
      <c r="A27" s="1" t="s">
        <v>114</v>
      </c>
      <c r="B27" s="1" t="s">
        <v>162</v>
      </c>
      <c r="C27" s="112">
        <v>3</v>
      </c>
      <c r="D27" s="178">
        <f t="shared" si="0"/>
        <v>724.40000000000009</v>
      </c>
      <c r="E27" s="178">
        <v>134.82</v>
      </c>
      <c r="F27" s="178">
        <v>23.62</v>
      </c>
      <c r="G27" s="178">
        <v>12.74</v>
      </c>
      <c r="H27" s="178">
        <v>0</v>
      </c>
      <c r="I27" s="178">
        <v>553.22</v>
      </c>
      <c r="J27" s="112">
        <v>0</v>
      </c>
      <c r="K27" s="178">
        <f t="shared" si="1"/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12">
        <v>2</v>
      </c>
      <c r="R27" s="178">
        <f t="shared" si="2"/>
        <v>976.71</v>
      </c>
      <c r="S27" s="178">
        <v>251.32</v>
      </c>
      <c r="T27" s="178">
        <v>155.77000000000001</v>
      </c>
      <c r="U27" s="178">
        <v>70.33</v>
      </c>
      <c r="V27" s="178">
        <v>0</v>
      </c>
      <c r="W27" s="178">
        <v>499.29</v>
      </c>
      <c r="X27" s="97"/>
      <c r="Y27" s="102"/>
      <c r="Z27" s="97"/>
      <c r="AA27" s="102"/>
      <c r="AB27" s="97"/>
      <c r="AC27" s="102"/>
      <c r="AD27" s="97"/>
      <c r="AE27" s="102"/>
      <c r="AF27" s="100"/>
      <c r="AG27" s="101"/>
      <c r="AH27" s="181"/>
      <c r="AI27" s="182">
        <f t="shared" si="3"/>
        <v>5</v>
      </c>
      <c r="AJ27" s="182">
        <f t="shared" si="4"/>
        <v>1701.1100000000001</v>
      </c>
    </row>
    <row r="28" spans="1:37">
      <c r="A28" s="1" t="s">
        <v>174</v>
      </c>
      <c r="B28" s="1" t="s">
        <v>161</v>
      </c>
      <c r="C28" s="112"/>
      <c r="D28" s="178">
        <f t="shared" si="0"/>
        <v>0</v>
      </c>
      <c r="E28" s="178"/>
      <c r="F28" s="178"/>
      <c r="G28" s="178"/>
      <c r="H28" s="178"/>
      <c r="I28" s="178"/>
      <c r="J28" s="112">
        <v>0</v>
      </c>
      <c r="K28" s="178">
        <f t="shared" si="1"/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12">
        <v>0</v>
      </c>
      <c r="R28" s="178">
        <f t="shared" si="2"/>
        <v>0</v>
      </c>
      <c r="S28" s="178">
        <v>0</v>
      </c>
      <c r="T28" s="178">
        <v>0</v>
      </c>
      <c r="U28" s="178">
        <v>0</v>
      </c>
      <c r="V28" s="178">
        <v>0</v>
      </c>
      <c r="W28" s="178">
        <v>0</v>
      </c>
      <c r="X28" s="97"/>
      <c r="Y28" s="102"/>
      <c r="Z28" s="97"/>
      <c r="AA28" s="102"/>
      <c r="AB28" s="97"/>
      <c r="AC28" s="102"/>
      <c r="AD28" s="97"/>
      <c r="AE28" s="102"/>
      <c r="AF28" s="100"/>
      <c r="AG28" s="101"/>
      <c r="AH28" s="181"/>
      <c r="AI28" s="182">
        <f t="shared" si="3"/>
        <v>0</v>
      </c>
      <c r="AJ28" s="182">
        <f t="shared" si="4"/>
        <v>0</v>
      </c>
    </row>
    <row r="29" spans="1:37">
      <c r="A29" s="1" t="s">
        <v>175</v>
      </c>
      <c r="B29" s="1" t="s">
        <v>161</v>
      </c>
      <c r="C29" s="112">
        <v>0</v>
      </c>
      <c r="D29" s="178">
        <f t="shared" si="0"/>
        <v>0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12">
        <v>0</v>
      </c>
      <c r="K29" s="178">
        <f t="shared" si="1"/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12">
        <v>4</v>
      </c>
      <c r="R29" s="178">
        <f t="shared" si="2"/>
        <v>543</v>
      </c>
      <c r="S29" s="178">
        <v>80.8</v>
      </c>
      <c r="T29" s="178">
        <v>0</v>
      </c>
      <c r="U29" s="178">
        <v>45.2</v>
      </c>
      <c r="V29" s="178">
        <v>90</v>
      </c>
      <c r="W29" s="178">
        <v>327</v>
      </c>
      <c r="X29" s="97"/>
      <c r="Y29" s="102"/>
      <c r="Z29" s="97"/>
      <c r="AA29" s="102"/>
      <c r="AB29" s="97"/>
      <c r="AC29" s="102"/>
      <c r="AD29" s="98">
        <v>18</v>
      </c>
      <c r="AE29" s="99">
        <v>85430.975999999995</v>
      </c>
      <c r="AF29" s="100"/>
      <c r="AG29" s="101"/>
      <c r="AH29" s="216">
        <v>4271.54</v>
      </c>
      <c r="AI29" s="182">
        <f>SUM(C29,J29,Q29,X29,Z29,AB29,AD29,AF29)</f>
        <v>22</v>
      </c>
      <c r="AJ29" s="182">
        <f>D29+K29+R29+Y29+AA29+AC29+AE29+AG29</f>
        <v>85973.975999999995</v>
      </c>
    </row>
    <row r="30" spans="1:37">
      <c r="A30" s="1" t="s">
        <v>176</v>
      </c>
      <c r="B30" s="1" t="s">
        <v>161</v>
      </c>
      <c r="C30" s="112"/>
      <c r="D30" s="178">
        <f t="shared" si="0"/>
        <v>0</v>
      </c>
      <c r="E30" s="178"/>
      <c r="F30" s="178"/>
      <c r="G30" s="178"/>
      <c r="H30" s="178"/>
      <c r="I30" s="178"/>
      <c r="J30" s="213">
        <v>0</v>
      </c>
      <c r="K30" s="178">
        <f t="shared" si="1"/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12"/>
      <c r="R30" s="178">
        <f t="shared" si="2"/>
        <v>0</v>
      </c>
      <c r="S30" s="178"/>
      <c r="T30" s="178"/>
      <c r="U30" s="178"/>
      <c r="V30" s="178"/>
      <c r="W30" s="178"/>
      <c r="X30" s="97"/>
      <c r="Y30" s="102"/>
      <c r="Z30" s="97"/>
      <c r="AA30" s="102"/>
      <c r="AB30" s="97"/>
      <c r="AC30" s="102"/>
      <c r="AD30" s="97"/>
      <c r="AE30" s="102"/>
      <c r="AF30" s="100"/>
      <c r="AG30" s="101"/>
      <c r="AH30" s="181"/>
      <c r="AI30" s="182">
        <f t="shared" si="3"/>
        <v>0</v>
      </c>
      <c r="AJ30" s="182">
        <f t="shared" si="4"/>
        <v>0</v>
      </c>
    </row>
    <row r="31" spans="1:37">
      <c r="A31" s="1" t="s">
        <v>48</v>
      </c>
      <c r="B31" s="1" t="s">
        <v>161</v>
      </c>
      <c r="C31" s="112">
        <v>5</v>
      </c>
      <c r="D31" s="178">
        <f t="shared" si="0"/>
        <v>1998.9600000000003</v>
      </c>
      <c r="E31" s="178">
        <v>434.81</v>
      </c>
      <c r="F31" s="178">
        <v>0</v>
      </c>
      <c r="G31" s="178">
        <v>8.58</v>
      </c>
      <c r="H31" s="178">
        <v>1164.1400000000001</v>
      </c>
      <c r="I31" s="178">
        <v>391.43</v>
      </c>
      <c r="J31" s="112">
        <v>0</v>
      </c>
      <c r="K31" s="178">
        <f t="shared" si="1"/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12">
        <v>152</v>
      </c>
      <c r="R31" s="178">
        <f t="shared" si="2"/>
        <v>243661.32</v>
      </c>
      <c r="S31" s="178">
        <v>32431</v>
      </c>
      <c r="T31" s="178">
        <v>2059.34</v>
      </c>
      <c r="U31" s="178">
        <v>25253.41</v>
      </c>
      <c r="V31" s="178">
        <v>124409.22</v>
      </c>
      <c r="W31" s="178">
        <v>59508.35</v>
      </c>
      <c r="X31" s="97"/>
      <c r="Y31" s="102"/>
      <c r="Z31" s="97"/>
      <c r="AA31" s="102"/>
      <c r="AB31" s="97"/>
      <c r="AC31" s="102"/>
      <c r="AD31" s="97"/>
      <c r="AE31" s="102"/>
      <c r="AF31" s="100">
        <v>1</v>
      </c>
      <c r="AG31" s="101">
        <v>80.5</v>
      </c>
      <c r="AH31" s="180"/>
      <c r="AI31" s="182">
        <f t="shared" si="3"/>
        <v>158</v>
      </c>
      <c r="AJ31" s="182">
        <f t="shared" si="4"/>
        <v>245740.78</v>
      </c>
    </row>
    <row r="32" spans="1:37">
      <c r="A32" s="1" t="s">
        <v>45</v>
      </c>
      <c r="B32" s="1" t="s">
        <v>161</v>
      </c>
      <c r="C32" s="112"/>
      <c r="D32" s="178">
        <f t="shared" si="0"/>
        <v>0</v>
      </c>
      <c r="E32" s="178"/>
      <c r="F32" s="178"/>
      <c r="G32" s="178"/>
      <c r="H32" s="178"/>
      <c r="I32" s="178"/>
      <c r="J32" s="112"/>
      <c r="K32" s="178">
        <f t="shared" si="1"/>
        <v>0</v>
      </c>
      <c r="L32" s="178"/>
      <c r="M32" s="178"/>
      <c r="N32" s="178"/>
      <c r="O32" s="178"/>
      <c r="P32" s="178"/>
      <c r="Q32" s="112">
        <v>123</v>
      </c>
      <c r="R32" s="178">
        <f t="shared" si="2"/>
        <v>158002.63</v>
      </c>
      <c r="S32" s="178">
        <v>19811.57</v>
      </c>
      <c r="T32" s="178">
        <v>2472.6</v>
      </c>
      <c r="U32" s="178">
        <v>20241.71</v>
      </c>
      <c r="V32" s="178">
        <v>34432.959999999999</v>
      </c>
      <c r="W32" s="178">
        <v>81043.789999999994</v>
      </c>
      <c r="X32" s="97"/>
      <c r="Y32" s="102"/>
      <c r="Z32" s="97"/>
      <c r="AA32" s="102"/>
      <c r="AB32" s="97"/>
      <c r="AC32" s="102"/>
      <c r="AD32" s="98">
        <v>104</v>
      </c>
      <c r="AE32" s="99">
        <v>537871.35</v>
      </c>
      <c r="AF32" s="100"/>
      <c r="AG32" s="101"/>
      <c r="AH32" s="216">
        <v>48711.184999999998</v>
      </c>
      <c r="AI32" s="182">
        <f t="shared" si="3"/>
        <v>227</v>
      </c>
      <c r="AJ32" s="182">
        <f t="shared" si="4"/>
        <v>695873.98</v>
      </c>
    </row>
    <row r="33" spans="1:37">
      <c r="A33" s="1" t="s">
        <v>192</v>
      </c>
      <c r="B33" s="1" t="s">
        <v>161</v>
      </c>
      <c r="C33" s="112"/>
      <c r="D33" s="178">
        <f t="shared" si="0"/>
        <v>0</v>
      </c>
      <c r="E33" s="178"/>
      <c r="F33" s="178"/>
      <c r="G33" s="178"/>
      <c r="H33" s="178"/>
      <c r="I33" s="178"/>
      <c r="J33" s="112"/>
      <c r="K33" s="178">
        <f t="shared" si="1"/>
        <v>0</v>
      </c>
      <c r="L33" s="178"/>
      <c r="M33" s="178"/>
      <c r="N33" s="178"/>
      <c r="O33" s="178"/>
      <c r="P33" s="178"/>
      <c r="Q33" s="112"/>
      <c r="R33" s="178">
        <f t="shared" si="2"/>
        <v>0</v>
      </c>
      <c r="S33" s="178"/>
      <c r="T33" s="178"/>
      <c r="U33" s="178"/>
      <c r="V33" s="178"/>
      <c r="W33" s="178"/>
      <c r="X33" s="97"/>
      <c r="Y33" s="102"/>
      <c r="Z33" s="97"/>
      <c r="AA33" s="102"/>
      <c r="AB33" s="97"/>
      <c r="AC33" s="102"/>
      <c r="AD33" s="246"/>
      <c r="AE33" s="99">
        <v>378000</v>
      </c>
      <c r="AF33" s="100"/>
      <c r="AG33" s="101"/>
      <c r="AH33" s="216"/>
      <c r="AI33" s="182">
        <f>SUM(C33,J33,Q33,X33,Z33,AB33,AD33,AF33)</f>
        <v>0</v>
      </c>
      <c r="AJ33" s="182">
        <f t="shared" ref="AJ33" si="5">D33+K33+R33+Y33+AA33+AC33+AE33+AG33</f>
        <v>378000</v>
      </c>
    </row>
    <row r="34" spans="1:37">
      <c r="A34" s="86" t="s">
        <v>115</v>
      </c>
      <c r="B34" s="177"/>
      <c r="C34" s="113">
        <f>SUM(C6:C33)</f>
        <v>490</v>
      </c>
      <c r="D34" s="184">
        <f>SUM(D6:D33)</f>
        <v>1231541.3899999999</v>
      </c>
      <c r="E34" s="184">
        <f t="shared" ref="E34:I34" si="6">SUM(E6:E33)</f>
        <v>146105.65000000002</v>
      </c>
      <c r="F34" s="184">
        <f t="shared" si="6"/>
        <v>3725.87</v>
      </c>
      <c r="G34" s="184">
        <f t="shared" si="6"/>
        <v>82862.570000000007</v>
      </c>
      <c r="H34" s="184">
        <f t="shared" si="6"/>
        <v>877096.61</v>
      </c>
      <c r="I34" s="184">
        <f t="shared" si="6"/>
        <v>121750.68999999999</v>
      </c>
      <c r="J34" s="114">
        <f>SUM(J6:J33)</f>
        <v>305</v>
      </c>
      <c r="K34" s="184">
        <f>SUM(K6:K33)</f>
        <v>1943808.83</v>
      </c>
      <c r="L34" s="184">
        <f t="shared" ref="L34:P34" si="7">SUM(L6:L33)</f>
        <v>204559.44</v>
      </c>
      <c r="M34" s="184">
        <f t="shared" si="7"/>
        <v>1534.8799999999999</v>
      </c>
      <c r="N34" s="184">
        <f t="shared" si="7"/>
        <v>74017.55</v>
      </c>
      <c r="O34" s="184">
        <f t="shared" si="7"/>
        <v>1280578.8699999999</v>
      </c>
      <c r="P34" s="184">
        <f t="shared" si="7"/>
        <v>383118.09000000008</v>
      </c>
      <c r="Q34" s="115">
        <f>SUM(Q6:Q33)</f>
        <v>1553</v>
      </c>
      <c r="R34" s="184">
        <f>SUM(R6:R33)</f>
        <v>3145443.73</v>
      </c>
      <c r="S34" s="184">
        <f t="shared" ref="S34:W34" si="8">SUM(S6:S33)</f>
        <v>346527.46</v>
      </c>
      <c r="T34" s="184">
        <f t="shared" si="8"/>
        <v>39788.169999999991</v>
      </c>
      <c r="U34" s="184">
        <f t="shared" si="8"/>
        <v>379769.58</v>
      </c>
      <c r="V34" s="184">
        <f t="shared" si="8"/>
        <v>1532822.1199999999</v>
      </c>
      <c r="W34" s="184">
        <f t="shared" si="8"/>
        <v>846536.40000000014</v>
      </c>
      <c r="X34" s="103">
        <f t="shared" ref="X34:AH34" si="9">SUM(X6:X33)</f>
        <v>0</v>
      </c>
      <c r="Y34" s="104">
        <f t="shared" si="9"/>
        <v>0</v>
      </c>
      <c r="Z34" s="105">
        <f t="shared" si="9"/>
        <v>0</v>
      </c>
      <c r="AA34" s="106">
        <f t="shared" si="9"/>
        <v>0</v>
      </c>
      <c r="AB34" s="107">
        <f t="shared" si="9"/>
        <v>0</v>
      </c>
      <c r="AC34" s="108">
        <f t="shared" si="9"/>
        <v>0</v>
      </c>
      <c r="AD34" s="109">
        <f t="shared" si="9"/>
        <v>12708</v>
      </c>
      <c r="AE34" s="215">
        <f t="shared" si="9"/>
        <v>49848418.066000007</v>
      </c>
      <c r="AF34" s="110">
        <f t="shared" si="9"/>
        <v>7</v>
      </c>
      <c r="AG34" s="189">
        <f t="shared" si="9"/>
        <v>563.5</v>
      </c>
      <c r="AH34" s="190">
        <f t="shared" si="9"/>
        <v>3298382.0980000002</v>
      </c>
      <c r="AI34" s="111">
        <f>IF(SUM(AI6:AI33)=SUM(AI35:AI36),SUM(AI6:AI33),"Faux")</f>
        <v>15063</v>
      </c>
      <c r="AJ34" s="191">
        <f>IF(SUM(AJ6:AJ33)=SUM(AJ35:AJ36),SUM(AJ6:AJ33),"Faux")</f>
        <v>56169775.516000003</v>
      </c>
      <c r="AK34" s="46"/>
    </row>
    <row r="35" spans="1:37">
      <c r="A35" s="118" t="s">
        <v>116</v>
      </c>
      <c r="B35" s="118"/>
      <c r="C35" s="116">
        <f>SUMIF($B$6:$B$33,"Convention",C6:C33)</f>
        <v>64</v>
      </c>
      <c r="D35" s="192">
        <f>SUM(E35:I35)</f>
        <v>374921.82999999996</v>
      </c>
      <c r="E35" s="192">
        <f>SUMIF($B$6:$B$33,"Convention",E6:E33)</f>
        <v>10125.300000000001</v>
      </c>
      <c r="F35" s="192">
        <f t="shared" ref="F35:I35" si="10">SUMIF($B$6:$B$33,"Convention",F6:F33)</f>
        <v>778.41000000000008</v>
      </c>
      <c r="G35" s="192">
        <f t="shared" si="10"/>
        <v>31133.27</v>
      </c>
      <c r="H35" s="192">
        <f t="shared" si="10"/>
        <v>312790.5</v>
      </c>
      <c r="I35" s="192">
        <f t="shared" si="10"/>
        <v>20094.349999999999</v>
      </c>
      <c r="J35" s="116">
        <f>SUMIF($B$6:$B$33,"Convention",J6:J33)</f>
        <v>169</v>
      </c>
      <c r="K35" s="192">
        <f>SUM(L35:P35)</f>
        <v>1382827.22</v>
      </c>
      <c r="L35" s="192">
        <f>SUMIF($B$6:$B$33,"Convention",L6:L33)</f>
        <v>132003.24</v>
      </c>
      <c r="M35" s="192">
        <f t="shared" ref="M35:P35" si="11">SUMIF($B$6:$B$33,"Convention",M6:M33)</f>
        <v>53.98</v>
      </c>
      <c r="N35" s="192">
        <f t="shared" si="11"/>
        <v>4977.2600000000011</v>
      </c>
      <c r="O35" s="192">
        <f t="shared" si="11"/>
        <v>1002417.51</v>
      </c>
      <c r="P35" s="192">
        <f t="shared" si="11"/>
        <v>243375.23000000004</v>
      </c>
      <c r="Q35" s="116">
        <f>SUMIF($B$6:$B$33,"Convention",Q6:Q33)</f>
        <v>984</v>
      </c>
      <c r="R35" s="192">
        <f>SUM(S35:W35)</f>
        <v>1028925.99</v>
      </c>
      <c r="S35" s="192">
        <f>SUMIF($B$6:$B$33,"Convention",S6:S33)</f>
        <v>146820.15000000002</v>
      </c>
      <c r="T35" s="192">
        <f t="shared" ref="T35:W35" si="12">SUMIF($B$6:$B$33,"Convention",T6:T33)</f>
        <v>17720.25</v>
      </c>
      <c r="U35" s="192">
        <f t="shared" si="12"/>
        <v>132830.85</v>
      </c>
      <c r="V35" s="192">
        <f t="shared" si="12"/>
        <v>382269.06</v>
      </c>
      <c r="W35" s="192">
        <f t="shared" si="12"/>
        <v>349285.67999999993</v>
      </c>
      <c r="X35" s="116">
        <f t="shared" ref="X35:AJ35" si="13">SUMIF($B$6:$B$33,"Convention",X6:X33)</f>
        <v>0</v>
      </c>
      <c r="Y35" s="192">
        <f t="shared" si="13"/>
        <v>0</v>
      </c>
      <c r="Z35" s="116">
        <f t="shared" si="13"/>
        <v>0</v>
      </c>
      <c r="AA35" s="192">
        <f t="shared" si="13"/>
        <v>0</v>
      </c>
      <c r="AB35" s="116">
        <f t="shared" si="13"/>
        <v>0</v>
      </c>
      <c r="AC35" s="192">
        <f t="shared" si="13"/>
        <v>0</v>
      </c>
      <c r="AD35" s="116">
        <f t="shared" si="13"/>
        <v>12708</v>
      </c>
      <c r="AE35" s="192">
        <f t="shared" si="13"/>
        <v>49848418.066000007</v>
      </c>
      <c r="AF35" s="116">
        <f t="shared" si="13"/>
        <v>7</v>
      </c>
      <c r="AG35" s="192">
        <f t="shared" si="13"/>
        <v>563.5</v>
      </c>
      <c r="AH35" s="192">
        <f t="shared" si="13"/>
        <v>3248166.8880000003</v>
      </c>
      <c r="AI35" s="192">
        <f t="shared" si="13"/>
        <v>13932</v>
      </c>
      <c r="AJ35" s="192">
        <f t="shared" si="13"/>
        <v>52635656.606000006</v>
      </c>
    </row>
    <row r="36" spans="1:37">
      <c r="A36" s="118" t="s">
        <v>117</v>
      </c>
      <c r="B36" s="118"/>
      <c r="C36" s="116">
        <f>SUMIF($B$6:$B$33,"Décret",C6:C33)</f>
        <v>426</v>
      </c>
      <c r="D36" s="192">
        <f>SUM(E36:I36)</f>
        <v>856619.55999999994</v>
      </c>
      <c r="E36" s="192">
        <f>SUMIF($B$6:$B$33,"Décret",E6:E33)</f>
        <v>135980.35</v>
      </c>
      <c r="F36" s="192">
        <f t="shared" ref="F36:I36" si="14">SUMIF($B$6:$B$33,"Décret",F6:F33)</f>
        <v>2947.46</v>
      </c>
      <c r="G36" s="192">
        <f t="shared" si="14"/>
        <v>51729.299999999996</v>
      </c>
      <c r="H36" s="192">
        <f t="shared" si="14"/>
        <v>564306.11</v>
      </c>
      <c r="I36" s="192">
        <f t="shared" si="14"/>
        <v>101656.34</v>
      </c>
      <c r="J36" s="116">
        <f>SUMIF($B$6:$B$33,"Décret",J6:J33)</f>
        <v>136</v>
      </c>
      <c r="K36" s="192">
        <f>SUM(L36:P36)</f>
        <v>560981.61</v>
      </c>
      <c r="L36" s="192">
        <f>SUMIF($B$6:$B$33,"Décret",L6:L33)</f>
        <v>72556.2</v>
      </c>
      <c r="M36" s="192">
        <f t="shared" ref="M36:P36" si="15">SUMIF($B$6:$B$33,"Décret",M6:M33)</f>
        <v>1480.8999999999999</v>
      </c>
      <c r="N36" s="192">
        <f t="shared" si="15"/>
        <v>69040.289999999994</v>
      </c>
      <c r="O36" s="192">
        <f t="shared" si="15"/>
        <v>278161.36</v>
      </c>
      <c r="P36" s="192">
        <f t="shared" si="15"/>
        <v>139742.85999999999</v>
      </c>
      <c r="Q36" s="116">
        <f>SUMIF($B$6:$B$33,"Décret",Q6:Q33)</f>
        <v>569</v>
      </c>
      <c r="R36" s="192">
        <f>SUM(S36:W36)</f>
        <v>2116517.7400000002</v>
      </c>
      <c r="S36" s="192">
        <f>SUMIF($B$6:$B$33,"Décret",S6:S33)</f>
        <v>199707.31</v>
      </c>
      <c r="T36" s="192">
        <f t="shared" ref="T36:W36" si="16">SUMIF($B$6:$B$33,"Décret",T6:T33)</f>
        <v>22067.920000000002</v>
      </c>
      <c r="U36" s="192">
        <f t="shared" si="16"/>
        <v>246938.72999999998</v>
      </c>
      <c r="V36" s="192">
        <f t="shared" si="16"/>
        <v>1150553.06</v>
      </c>
      <c r="W36" s="192">
        <f t="shared" si="16"/>
        <v>497250.72000000003</v>
      </c>
      <c r="X36" s="116">
        <f t="shared" ref="X36:AJ36" si="17">SUMIF($B$6:$B$33,"Décret",X6:X33)</f>
        <v>0</v>
      </c>
      <c r="Y36" s="192">
        <f t="shared" si="17"/>
        <v>0</v>
      </c>
      <c r="Z36" s="116">
        <f t="shared" si="17"/>
        <v>0</v>
      </c>
      <c r="AA36" s="192">
        <f t="shared" si="17"/>
        <v>0</v>
      </c>
      <c r="AB36" s="116">
        <f t="shared" si="17"/>
        <v>0</v>
      </c>
      <c r="AC36" s="192">
        <f t="shared" si="17"/>
        <v>0</v>
      </c>
      <c r="AD36" s="116">
        <f t="shared" si="17"/>
        <v>0</v>
      </c>
      <c r="AE36" s="192">
        <f t="shared" si="17"/>
        <v>0</v>
      </c>
      <c r="AF36" s="116">
        <f t="shared" si="17"/>
        <v>0</v>
      </c>
      <c r="AG36" s="192">
        <f t="shared" si="17"/>
        <v>0</v>
      </c>
      <c r="AH36" s="192">
        <f t="shared" si="17"/>
        <v>50215.21</v>
      </c>
      <c r="AI36" s="192">
        <f t="shared" si="17"/>
        <v>1131</v>
      </c>
      <c r="AJ36" s="192">
        <f t="shared" si="17"/>
        <v>3534118.9099999997</v>
      </c>
    </row>
    <row r="37" spans="1:37">
      <c r="D37" s="46"/>
      <c r="K37" s="46"/>
      <c r="R37" s="46"/>
      <c r="AI37"/>
    </row>
    <row r="38" spans="1:37">
      <c r="A38" s="1" t="s">
        <v>182</v>
      </c>
      <c r="B38" s="1" t="s">
        <v>161</v>
      </c>
      <c r="C38" s="112">
        <v>0</v>
      </c>
      <c r="D38" s="178">
        <f>SUM(E38:I38)</f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12">
        <v>0</v>
      </c>
      <c r="K38" s="178">
        <f>SUM(L38:P38)</f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12">
        <v>127</v>
      </c>
      <c r="R38" s="178">
        <f>SUM(S38:W38)</f>
        <v>50907.77</v>
      </c>
      <c r="S38" s="178">
        <v>14331.76</v>
      </c>
      <c r="T38" s="178">
        <v>703.47</v>
      </c>
      <c r="U38" s="178">
        <v>4639.8599999999997</v>
      </c>
      <c r="V38" s="178">
        <v>24303.48</v>
      </c>
      <c r="W38" s="178">
        <v>6929.2</v>
      </c>
      <c r="X38" s="97"/>
      <c r="Y38" s="102"/>
      <c r="Z38" s="97"/>
      <c r="AA38" s="102"/>
      <c r="AB38" s="97"/>
      <c r="AC38" s="102"/>
      <c r="AD38" s="97"/>
      <c r="AE38" s="102"/>
      <c r="AF38" s="97"/>
      <c r="AG38" s="97"/>
      <c r="AH38" s="181"/>
      <c r="AI38" s="182">
        <f>C38+J38+Q38</f>
        <v>127</v>
      </c>
      <c r="AJ38" s="182">
        <f>D38+K38+R38</f>
        <v>50907.77</v>
      </c>
    </row>
    <row r="39" spans="1:37">
      <c r="AI39"/>
    </row>
    <row r="40" spans="1:37">
      <c r="X40" s="46"/>
      <c r="AI40"/>
      <c r="AJ40" s="196"/>
    </row>
    <row r="41" spans="1:37">
      <c r="R41" s="46"/>
      <c r="AI41"/>
    </row>
    <row r="44" spans="1:37">
      <c r="AJ44" s="46"/>
    </row>
  </sheetData>
  <sortState ref="A6:B19">
    <sortCondition ref="A6"/>
  </sortState>
  <mergeCells count="22">
    <mergeCell ref="X1:AE1"/>
    <mergeCell ref="AF1:AG2"/>
    <mergeCell ref="AH1:AH3"/>
    <mergeCell ref="AI1:AJ3"/>
    <mergeCell ref="X2:Y2"/>
    <mergeCell ref="Z2:AA2"/>
    <mergeCell ref="AB2:AC2"/>
    <mergeCell ref="AD2:AE2"/>
    <mergeCell ref="Z3:AA3"/>
    <mergeCell ref="AB3:AC3"/>
    <mergeCell ref="AF3:AG3"/>
    <mergeCell ref="X3:Y3"/>
    <mergeCell ref="AD3:AE3"/>
    <mergeCell ref="Q3:W3"/>
    <mergeCell ref="Q4:Q5"/>
    <mergeCell ref="C3:I3"/>
    <mergeCell ref="C4:C5"/>
    <mergeCell ref="J3:P3"/>
    <mergeCell ref="J4:J5"/>
    <mergeCell ref="E4:I4"/>
    <mergeCell ref="L4:P4"/>
    <mergeCell ref="S4:W4"/>
  </mergeCells>
  <hyperlinks>
    <hyperlink ref="A1" location="'ACCUEIL &quot;Créances&quot;'!A1" display="ACCUEI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0">
    <tabColor theme="8" tint="-0.249977111117893"/>
  </sheetPr>
  <dimension ref="A1:N80"/>
  <sheetViews>
    <sheetView zoomScale="80" zoomScaleNormal="80" workbookViewId="0"/>
  </sheetViews>
  <sheetFormatPr baseColWidth="10" defaultRowHeight="15"/>
  <cols>
    <col min="2" max="2" width="25.5703125" customWidth="1"/>
    <col min="3" max="6" width="14.7109375" customWidth="1"/>
    <col min="12" max="12" width="12.85546875" bestFit="1" customWidth="1"/>
    <col min="13" max="13" width="17.42578125" bestFit="1" customWidth="1"/>
    <col min="14" max="14" width="22.140625" bestFit="1" customWidth="1"/>
  </cols>
  <sheetData>
    <row r="1" spans="1:9" ht="15.75" thickBot="1">
      <c r="A1" s="14" t="s">
        <v>58</v>
      </c>
    </row>
    <row r="3" spans="1:9">
      <c r="C3" s="317" t="s">
        <v>82</v>
      </c>
      <c r="D3" s="317"/>
      <c r="E3" s="81" t="s">
        <v>65</v>
      </c>
      <c r="G3" s="31" t="s">
        <v>130</v>
      </c>
    </row>
    <row r="4" spans="1:9">
      <c r="B4" s="1" t="s">
        <v>49</v>
      </c>
      <c r="C4" s="38">
        <f>'Données conventions bilatérales'!AI6</f>
        <v>12946</v>
      </c>
      <c r="D4" s="142">
        <f t="shared" ref="D4:D30" si="0">C4/$C$32</f>
        <v>0.85945694748722035</v>
      </c>
      <c r="E4" s="49">
        <f t="shared" ref="E4:E29" si="1">RANK(C4,$C$4:$C$30)</f>
        <v>1</v>
      </c>
    </row>
    <row r="5" spans="1:9">
      <c r="B5" s="1" t="s">
        <v>43</v>
      </c>
      <c r="C5" s="38">
        <f>'Données conventions bilatérales'!AI7</f>
        <v>172</v>
      </c>
      <c r="D5" s="142">
        <f t="shared" si="0"/>
        <v>1.1418708092677421E-2</v>
      </c>
      <c r="E5" s="49">
        <f t="shared" si="1"/>
        <v>6</v>
      </c>
    </row>
    <row r="6" spans="1:9">
      <c r="B6" s="1" t="s">
        <v>163</v>
      </c>
      <c r="C6" s="38">
        <f>'Données conventions bilatérales'!AI8</f>
        <v>0</v>
      </c>
      <c r="D6" s="142">
        <f t="shared" si="0"/>
        <v>0</v>
      </c>
      <c r="E6" s="49">
        <f t="shared" si="1"/>
        <v>16</v>
      </c>
      <c r="I6" t="str">
        <f>"n = "&amp;TEXT(C32,"# ###")</f>
        <v>n = 15 063</v>
      </c>
    </row>
    <row r="7" spans="1:9">
      <c r="B7" s="1" t="s">
        <v>164</v>
      </c>
      <c r="C7" s="38">
        <f>'Données conventions bilatérales'!AI9</f>
        <v>1</v>
      </c>
      <c r="D7" s="142">
        <f t="shared" si="0"/>
        <v>6.6387837748124547E-5</v>
      </c>
      <c r="E7" s="49">
        <f t="shared" si="1"/>
        <v>14</v>
      </c>
    </row>
    <row r="8" spans="1:9">
      <c r="B8" s="1" t="s">
        <v>165</v>
      </c>
      <c r="C8" s="38">
        <f>'Données conventions bilatérales'!AI10</f>
        <v>0</v>
      </c>
      <c r="D8" s="142">
        <f t="shared" si="0"/>
        <v>0</v>
      </c>
      <c r="E8" s="49">
        <f t="shared" si="1"/>
        <v>16</v>
      </c>
    </row>
    <row r="9" spans="1:9">
      <c r="B9" s="1" t="s">
        <v>166</v>
      </c>
      <c r="C9" s="38">
        <f>'Données conventions bilatérales'!AI11</f>
        <v>0</v>
      </c>
      <c r="D9" s="142">
        <f t="shared" si="0"/>
        <v>0</v>
      </c>
      <c r="E9" s="49">
        <f t="shared" si="1"/>
        <v>16</v>
      </c>
    </row>
    <row r="10" spans="1:9">
      <c r="B10" s="1" t="s">
        <v>167</v>
      </c>
      <c r="C10" s="38">
        <f>'Données conventions bilatérales'!AI12</f>
        <v>0</v>
      </c>
      <c r="D10" s="142">
        <f t="shared" si="0"/>
        <v>0</v>
      </c>
      <c r="E10" s="49">
        <f t="shared" si="1"/>
        <v>16</v>
      </c>
    </row>
    <row r="11" spans="1:9">
      <c r="B11" s="1" t="s">
        <v>168</v>
      </c>
      <c r="C11" s="38">
        <f>'Données conventions bilatérales'!AI13</f>
        <v>0</v>
      </c>
      <c r="D11" s="142">
        <f t="shared" si="0"/>
        <v>0</v>
      </c>
      <c r="E11" s="49">
        <f t="shared" si="1"/>
        <v>16</v>
      </c>
    </row>
    <row r="12" spans="1:9">
      <c r="B12" s="1" t="s">
        <v>113</v>
      </c>
      <c r="C12" s="38">
        <f>'Données conventions bilatérales'!AI14</f>
        <v>0</v>
      </c>
      <c r="D12" s="142">
        <f t="shared" si="0"/>
        <v>0</v>
      </c>
      <c r="E12" s="49">
        <f t="shared" si="1"/>
        <v>16</v>
      </c>
    </row>
    <row r="13" spans="1:9">
      <c r="B13" s="1" t="s">
        <v>169</v>
      </c>
      <c r="C13" s="38">
        <f>'Données conventions bilatérales'!AI15</f>
        <v>1</v>
      </c>
      <c r="D13" s="142">
        <f t="shared" si="0"/>
        <v>6.6387837748124547E-5</v>
      </c>
      <c r="E13" s="49">
        <f t="shared" si="1"/>
        <v>14</v>
      </c>
    </row>
    <row r="14" spans="1:9">
      <c r="B14" s="1" t="s">
        <v>170</v>
      </c>
      <c r="C14" s="38">
        <f>'Données conventions bilatérales'!AI16</f>
        <v>0</v>
      </c>
      <c r="D14" s="142">
        <f t="shared" si="0"/>
        <v>0</v>
      </c>
      <c r="E14" s="49">
        <f t="shared" si="1"/>
        <v>16</v>
      </c>
    </row>
    <row r="15" spans="1:9">
      <c r="B15" s="1" t="s">
        <v>44</v>
      </c>
      <c r="C15" s="38">
        <f>'Données conventions bilatérales'!AI17</f>
        <v>14</v>
      </c>
      <c r="D15" s="142">
        <f t="shared" si="0"/>
        <v>9.2942972847374363E-4</v>
      </c>
      <c r="E15" s="49">
        <f t="shared" si="1"/>
        <v>10</v>
      </c>
    </row>
    <row r="16" spans="1:9">
      <c r="B16" s="1" t="s">
        <v>171</v>
      </c>
      <c r="C16" s="38">
        <f>'Données conventions bilatérales'!AI18</f>
        <v>0</v>
      </c>
      <c r="D16" s="142">
        <f t="shared" si="0"/>
        <v>0</v>
      </c>
      <c r="E16" s="49">
        <f t="shared" si="1"/>
        <v>16</v>
      </c>
    </row>
    <row r="17" spans="2:10">
      <c r="B17" s="1" t="s">
        <v>46</v>
      </c>
      <c r="C17" s="38">
        <f>'Données conventions bilatérales'!AI19</f>
        <v>6</v>
      </c>
      <c r="D17" s="142">
        <f t="shared" si="0"/>
        <v>3.9832702648874725E-4</v>
      </c>
      <c r="E17" s="49">
        <f t="shared" si="1"/>
        <v>11</v>
      </c>
    </row>
    <row r="18" spans="2:10">
      <c r="B18" s="1" t="s">
        <v>47</v>
      </c>
      <c r="C18" s="38">
        <f>'Données conventions bilatérales'!AI20</f>
        <v>64</v>
      </c>
      <c r="D18" s="142">
        <f t="shared" si="0"/>
        <v>4.248821615879971E-3</v>
      </c>
      <c r="E18" s="49">
        <f t="shared" si="1"/>
        <v>8</v>
      </c>
    </row>
    <row r="19" spans="2:10">
      <c r="B19" s="1" t="s">
        <v>172</v>
      </c>
      <c r="C19" s="38">
        <f>'Données conventions bilatérales'!AI21</f>
        <v>0</v>
      </c>
      <c r="D19" s="142">
        <f t="shared" si="0"/>
        <v>0</v>
      </c>
      <c r="E19" s="49">
        <f t="shared" si="1"/>
        <v>16</v>
      </c>
      <c r="G19" s="29" t="s">
        <v>133</v>
      </c>
    </row>
    <row r="20" spans="2:10">
      <c r="B20" s="1" t="s">
        <v>112</v>
      </c>
      <c r="C20" s="38">
        <f>'Données conventions bilatérales'!AI22</f>
        <v>6</v>
      </c>
      <c r="D20" s="142">
        <f t="shared" si="0"/>
        <v>3.9832702648874725E-4</v>
      </c>
      <c r="E20" s="49">
        <f t="shared" si="1"/>
        <v>11</v>
      </c>
    </row>
    <row r="21" spans="2:10">
      <c r="B21" s="1" t="s">
        <v>173</v>
      </c>
      <c r="C21" s="38">
        <f>'Données conventions bilatérales'!AI23</f>
        <v>0</v>
      </c>
      <c r="D21" s="142">
        <f t="shared" si="0"/>
        <v>0</v>
      </c>
      <c r="E21" s="49">
        <f t="shared" si="1"/>
        <v>16</v>
      </c>
    </row>
    <row r="22" spans="2:10">
      <c r="B22" s="1" t="s">
        <v>51</v>
      </c>
      <c r="C22" s="38">
        <f>'Données conventions bilatérales'!AI24</f>
        <v>817</v>
      </c>
      <c r="D22" s="142">
        <f t="shared" si="0"/>
        <v>5.4238863440217749E-2</v>
      </c>
      <c r="E22" s="49">
        <f t="shared" si="1"/>
        <v>2</v>
      </c>
    </row>
    <row r="23" spans="2:10">
      <c r="B23" s="1" t="s">
        <v>50</v>
      </c>
      <c r="C23" s="38">
        <f>'Données conventions bilatérales'!AI25</f>
        <v>309</v>
      </c>
      <c r="D23" s="142">
        <f t="shared" si="0"/>
        <v>2.0513841864170483E-2</v>
      </c>
      <c r="E23" s="49">
        <f t="shared" si="1"/>
        <v>4</v>
      </c>
    </row>
    <row r="24" spans="2:10">
      <c r="B24" s="1" t="s">
        <v>183</v>
      </c>
      <c r="C24" s="38">
        <f>'Données conventions bilatérales'!AI26</f>
        <v>315</v>
      </c>
      <c r="D24" s="142">
        <f t="shared" si="0"/>
        <v>2.0912168890659232E-2</v>
      </c>
      <c r="E24" s="49">
        <f t="shared" si="1"/>
        <v>3</v>
      </c>
    </row>
    <row r="25" spans="2:10">
      <c r="B25" s="1" t="s">
        <v>114</v>
      </c>
      <c r="C25" s="38">
        <f>'Données conventions bilatérales'!AI27</f>
        <v>5</v>
      </c>
      <c r="D25" s="142">
        <f t="shared" si="0"/>
        <v>3.3193918874062269E-4</v>
      </c>
      <c r="E25" s="49">
        <f t="shared" si="1"/>
        <v>13</v>
      </c>
    </row>
    <row r="26" spans="2:10">
      <c r="B26" s="1" t="s">
        <v>174</v>
      </c>
      <c r="C26" s="38">
        <f>'Données conventions bilatérales'!AI28</f>
        <v>0</v>
      </c>
      <c r="D26" s="142">
        <f t="shared" si="0"/>
        <v>0</v>
      </c>
      <c r="E26" s="49">
        <f t="shared" si="1"/>
        <v>16</v>
      </c>
      <c r="J26" s="22"/>
    </row>
    <row r="27" spans="2:10">
      <c r="B27" s="1" t="s">
        <v>175</v>
      </c>
      <c r="C27" s="38">
        <f>'Données conventions bilatérales'!AI29</f>
        <v>22</v>
      </c>
      <c r="D27" s="142">
        <f t="shared" si="0"/>
        <v>1.4605324304587399E-3</v>
      </c>
      <c r="E27" s="49">
        <f t="shared" si="1"/>
        <v>9</v>
      </c>
    </row>
    <row r="28" spans="2:10">
      <c r="B28" s="1" t="s">
        <v>176</v>
      </c>
      <c r="C28" s="38">
        <f>'Données conventions bilatérales'!AI30</f>
        <v>0</v>
      </c>
      <c r="D28" s="142">
        <f t="shared" si="0"/>
        <v>0</v>
      </c>
      <c r="E28" s="49">
        <f t="shared" si="1"/>
        <v>16</v>
      </c>
    </row>
    <row r="29" spans="2:10">
      <c r="B29" s="1" t="s">
        <v>48</v>
      </c>
      <c r="C29" s="38">
        <f>'Données conventions bilatérales'!AI31</f>
        <v>158</v>
      </c>
      <c r="D29" s="142">
        <f t="shared" si="0"/>
        <v>1.0489278364203677E-2</v>
      </c>
      <c r="E29" s="49">
        <f t="shared" si="1"/>
        <v>7</v>
      </c>
    </row>
    <row r="30" spans="2:10">
      <c r="B30" s="1" t="s">
        <v>45</v>
      </c>
      <c r="C30" s="38">
        <f>'Données conventions bilatérales'!AI32</f>
        <v>227</v>
      </c>
      <c r="D30" s="142">
        <f t="shared" si="0"/>
        <v>1.5070039168824271E-2</v>
      </c>
      <c r="E30" s="49">
        <f>RANK(C30,$C$4:$C$30)</f>
        <v>5</v>
      </c>
    </row>
    <row r="31" spans="2:10">
      <c r="B31" s="245" t="s">
        <v>193</v>
      </c>
      <c r="C31" s="38">
        <f>'Données conventions bilatérales'!AI33</f>
        <v>0</v>
      </c>
      <c r="D31" s="142">
        <f>C31/$C$32</f>
        <v>0</v>
      </c>
      <c r="E31" s="49">
        <f>RANK(C31,$C$4:$C$31)</f>
        <v>16</v>
      </c>
    </row>
    <row r="32" spans="2:10" ht="16.5" customHeight="1">
      <c r="B32" s="135" t="s">
        <v>36</v>
      </c>
      <c r="C32" s="144">
        <f>SUM(C4:C31)</f>
        <v>15063</v>
      </c>
      <c r="D32" s="145">
        <f>SUM(D4:D31)</f>
        <v>1.0000000000000002</v>
      </c>
      <c r="E32" s="3"/>
    </row>
    <row r="34" spans="2:14">
      <c r="B34" s="49" t="str">
        <f>INDEX(HorsEurope_B,MATCH(1,Rang_HorsEurope_B,0),1)</f>
        <v>Algérie</v>
      </c>
      <c r="C34" s="38">
        <f>INDEX(HorsEurope_B,MATCH(1,Rang_HorsEurope_B,0),2)</f>
        <v>12946</v>
      </c>
      <c r="D34" s="79"/>
      <c r="E34" s="37"/>
    </row>
    <row r="35" spans="2:14">
      <c r="B35" s="49" t="str">
        <f>INDEX(HorsEurope_B,MATCH(2,Rang_HorsEurope_B,0),1)</f>
        <v>Nouvelle-Calédonie</v>
      </c>
      <c r="C35" s="38">
        <f>INDEX(HorsEurope_B,MATCH(2,Rang_HorsEurope_B,0),2)</f>
        <v>817</v>
      </c>
      <c r="D35" s="79"/>
      <c r="E35" s="37"/>
    </row>
    <row r="36" spans="2:14">
      <c r="B36" s="49" t="str">
        <f>INDEX(HorsEurope_B,MATCH(3,Rang_HorsEurope_B,0),1)</f>
        <v>Québec *</v>
      </c>
      <c r="C36" s="38">
        <f>INDEX(HorsEurope_B,MATCH(3,Rang_HorsEurope_B,0),2)</f>
        <v>315</v>
      </c>
      <c r="D36" s="79"/>
      <c r="E36" s="37"/>
    </row>
    <row r="37" spans="2:14">
      <c r="B37" s="49" t="str">
        <f>INDEX(HorsEurope_B,MATCH(4,Rang_HorsEurope_B,0),1)</f>
        <v>Polynésie Française</v>
      </c>
      <c r="C37" s="38">
        <f>INDEX(HorsEurope_B,MATCH(4,Rang_HorsEurope_B,0),2)</f>
        <v>309</v>
      </c>
      <c r="D37" s="79"/>
      <c r="E37" s="37"/>
    </row>
    <row r="38" spans="2:14">
      <c r="B38" s="49" t="str">
        <f>INDEX(HorsEurope_B,MATCH(5,Rang_HorsEurope_B,0),1)</f>
        <v>Turquie</v>
      </c>
      <c r="C38" s="38">
        <f>INDEX(HorsEurope_B,MATCH(5,Rang_HorsEurope_B,0),2)</f>
        <v>227</v>
      </c>
      <c r="D38" s="79"/>
    </row>
    <row r="39" spans="2:14">
      <c r="B39" s="49" t="s">
        <v>84</v>
      </c>
      <c r="C39" s="38">
        <f>C32-C34-C35-C36-C37-C38</f>
        <v>449</v>
      </c>
      <c r="D39" s="79"/>
    </row>
    <row r="40" spans="2:14">
      <c r="B40" s="140"/>
      <c r="C40" s="141"/>
    </row>
    <row r="41" spans="2:14">
      <c r="B41" s="40" t="s">
        <v>184</v>
      </c>
      <c r="C41" s="41"/>
    </row>
    <row r="42" spans="2:14">
      <c r="B42" s="40"/>
      <c r="C42" s="41"/>
    </row>
    <row r="43" spans="2:14">
      <c r="B43" s="40"/>
      <c r="C43" s="41"/>
    </row>
    <row r="44" spans="2:14">
      <c r="B44" s="40"/>
      <c r="C44" s="41"/>
    </row>
    <row r="45" spans="2:14">
      <c r="B45" s="40"/>
      <c r="C45" s="41"/>
    </row>
    <row r="46" spans="2:14">
      <c r="B46" s="40"/>
      <c r="C46" s="41"/>
    </row>
    <row r="48" spans="2:14" s="59" customFormat="1">
      <c r="C48" s="406" t="s">
        <v>86</v>
      </c>
      <c r="D48" s="406"/>
      <c r="E48" s="407" t="s">
        <v>80</v>
      </c>
      <c r="F48" s="408"/>
      <c r="G48" s="406" t="s">
        <v>81</v>
      </c>
      <c r="H48" s="406"/>
      <c r="I48" s="406" t="s">
        <v>82</v>
      </c>
      <c r="J48" s="406"/>
      <c r="K48" s="19"/>
      <c r="L48" s="58" t="str">
        <f>C48</f>
        <v>Soins urgents</v>
      </c>
      <c r="M48" s="58" t="str">
        <f>E48</f>
        <v>Soins programmés</v>
      </c>
      <c r="N48" s="58" t="str">
        <f>G48</f>
        <v>Soins liés à la résidence</v>
      </c>
    </row>
    <row r="49" spans="1:14">
      <c r="A49" s="59"/>
      <c r="B49" s="1" t="s">
        <v>49</v>
      </c>
      <c r="C49" s="60">
        <f>'Données conventions bilatérales'!C6</f>
        <v>1</v>
      </c>
      <c r="D49" s="56">
        <f>C49/I49</f>
        <v>7.7243936350996446E-5</v>
      </c>
      <c r="E49" s="61">
        <f>'Données conventions bilatérales'!J6</f>
        <v>33</v>
      </c>
      <c r="F49" s="56">
        <f>E49/I49</f>
        <v>2.5490498995828829E-3</v>
      </c>
      <c r="G49" s="61">
        <f>'Données conventions bilatérales'!Q6+'Données conventions bilatérales'!X6+'Données conventions bilatérales'!Z6+'Données conventions bilatérales'!AB6+'Données conventions bilatérales'!AD6+'Données conventions bilatérales'!AF6</f>
        <v>12912</v>
      </c>
      <c r="H49" s="56">
        <f>G49/I49</f>
        <v>0.99737370616406618</v>
      </c>
      <c r="I49" s="55">
        <f t="shared" ref="I49" si="2">C49+E49+G49</f>
        <v>12946</v>
      </c>
      <c r="J49" s="56">
        <f t="shared" ref="J49" si="3">D49+F49+H49</f>
        <v>1</v>
      </c>
      <c r="K49" s="19"/>
      <c r="L49" s="62">
        <f>C49/$C$77</f>
        <v>2.0408163265306124E-3</v>
      </c>
      <c r="M49" s="62">
        <f t="shared" ref="M49:M75" si="4">E49/$E$77</f>
        <v>0.10819672131147541</v>
      </c>
      <c r="N49" s="62">
        <f>G49/$G$77</f>
        <v>0.90496215306980654</v>
      </c>
    </row>
    <row r="50" spans="1:14">
      <c r="A50" s="59"/>
      <c r="B50" s="1" t="s">
        <v>43</v>
      </c>
      <c r="C50" s="60">
        <f>'Données conventions bilatérales'!C7</f>
        <v>15</v>
      </c>
      <c r="D50" s="56">
        <f t="shared" ref="D50:D74" si="5">C50/I50</f>
        <v>8.7209302325581398E-2</v>
      </c>
      <c r="E50" s="61">
        <f>'Données conventions bilatérales'!J7</f>
        <v>116</v>
      </c>
      <c r="F50" s="56">
        <f t="shared" ref="F50:F74" si="6">E50/I50</f>
        <v>0.67441860465116277</v>
      </c>
      <c r="G50" s="61">
        <f>'Données conventions bilatérales'!Q7+'Données conventions bilatérales'!X7+'Données conventions bilatérales'!Z7+'Données conventions bilatérales'!AB7+'Données conventions bilatérales'!AD7+'Données conventions bilatérales'!AF7</f>
        <v>41</v>
      </c>
      <c r="H50" s="56">
        <f t="shared" ref="H50:H74" si="7">G50/I50</f>
        <v>0.23837209302325582</v>
      </c>
      <c r="I50" s="55">
        <f t="shared" ref="I50:I74" si="8">C50+E50+G50</f>
        <v>172</v>
      </c>
      <c r="J50" s="56">
        <f t="shared" ref="J50:J74" si="9">D50+F50+H50</f>
        <v>1</v>
      </c>
      <c r="K50" s="19"/>
      <c r="L50" s="62">
        <f t="shared" ref="L50:L75" si="10">C50/$C$77</f>
        <v>3.0612244897959183E-2</v>
      </c>
      <c r="M50" s="62">
        <f t="shared" si="4"/>
        <v>0.38032786885245901</v>
      </c>
      <c r="N50" s="62">
        <f t="shared" ref="N50:N75" si="11">G50/$G$77</f>
        <v>2.8735632183908046E-3</v>
      </c>
    </row>
    <row r="51" spans="1:14">
      <c r="A51" s="59"/>
      <c r="B51" s="1" t="s">
        <v>163</v>
      </c>
      <c r="C51" s="60">
        <f>'Données conventions bilatérales'!C8</f>
        <v>0</v>
      </c>
      <c r="D51" s="56" t="e">
        <f t="shared" si="5"/>
        <v>#DIV/0!</v>
      </c>
      <c r="E51" s="61">
        <f>'Données conventions bilatérales'!J8</f>
        <v>0</v>
      </c>
      <c r="F51" s="56" t="e">
        <f t="shared" si="6"/>
        <v>#DIV/0!</v>
      </c>
      <c r="G51" s="61">
        <f>'Données conventions bilatérales'!Q8+'Données conventions bilatérales'!X8+'Données conventions bilatérales'!Z8+'Données conventions bilatérales'!AB8+'Données conventions bilatérales'!AD8+'Données conventions bilatérales'!AF8</f>
        <v>0</v>
      </c>
      <c r="H51" s="56" t="e">
        <f t="shared" si="7"/>
        <v>#DIV/0!</v>
      </c>
      <c r="I51" s="55">
        <f t="shared" si="8"/>
        <v>0</v>
      </c>
      <c r="J51" s="56" t="e">
        <f t="shared" si="9"/>
        <v>#DIV/0!</v>
      </c>
      <c r="K51" s="19"/>
      <c r="L51" s="62">
        <f t="shared" si="10"/>
        <v>0</v>
      </c>
      <c r="M51" s="62">
        <f t="shared" si="4"/>
        <v>0</v>
      </c>
      <c r="N51" s="62">
        <f t="shared" si="11"/>
        <v>0</v>
      </c>
    </row>
    <row r="52" spans="1:14">
      <c r="A52" s="59"/>
      <c r="B52" s="1" t="s">
        <v>164</v>
      </c>
      <c r="C52" s="60">
        <f>'Données conventions bilatérales'!C9</f>
        <v>0</v>
      </c>
      <c r="D52" s="56">
        <f t="shared" si="5"/>
        <v>0</v>
      </c>
      <c r="E52" s="61">
        <f>'Données conventions bilatérales'!J9</f>
        <v>0</v>
      </c>
      <c r="F52" s="56">
        <f t="shared" si="6"/>
        <v>0</v>
      </c>
      <c r="G52" s="61">
        <f>'Données conventions bilatérales'!Q9+'Données conventions bilatérales'!X9+'Données conventions bilatérales'!Z9+'Données conventions bilatérales'!AB9+'Données conventions bilatérales'!AD9+'Données conventions bilatérales'!AF9</f>
        <v>1</v>
      </c>
      <c r="H52" s="56">
        <f t="shared" si="7"/>
        <v>1</v>
      </c>
      <c r="I52" s="55">
        <f t="shared" si="8"/>
        <v>1</v>
      </c>
      <c r="J52" s="56">
        <f t="shared" si="9"/>
        <v>1</v>
      </c>
      <c r="K52" s="19"/>
      <c r="L52" s="62">
        <f t="shared" si="10"/>
        <v>0</v>
      </c>
      <c r="M52" s="62">
        <f t="shared" si="4"/>
        <v>0</v>
      </c>
      <c r="N52" s="62">
        <f t="shared" si="11"/>
        <v>7.0086907765629382E-5</v>
      </c>
    </row>
    <row r="53" spans="1:14">
      <c r="A53" s="59"/>
      <c r="B53" s="1" t="s">
        <v>165</v>
      </c>
      <c r="C53" s="60">
        <f>'Données conventions bilatérales'!C10</f>
        <v>0</v>
      </c>
      <c r="D53" s="56" t="e">
        <f t="shared" si="5"/>
        <v>#DIV/0!</v>
      </c>
      <c r="E53" s="61">
        <f>'Données conventions bilatérales'!J10</f>
        <v>0</v>
      </c>
      <c r="F53" s="56" t="e">
        <f t="shared" si="6"/>
        <v>#DIV/0!</v>
      </c>
      <c r="G53" s="61">
        <f>'Données conventions bilatérales'!Q10+'Données conventions bilatérales'!X10+'Données conventions bilatérales'!Z10+'Données conventions bilatérales'!AB10+'Données conventions bilatérales'!AD10+'Données conventions bilatérales'!AF10</f>
        <v>0</v>
      </c>
      <c r="H53" s="56" t="e">
        <f t="shared" si="7"/>
        <v>#DIV/0!</v>
      </c>
      <c r="I53" s="55">
        <f t="shared" si="8"/>
        <v>0</v>
      </c>
      <c r="J53" s="56" t="e">
        <f t="shared" si="9"/>
        <v>#DIV/0!</v>
      </c>
      <c r="K53" s="19"/>
      <c r="L53" s="62">
        <f t="shared" si="10"/>
        <v>0</v>
      </c>
      <c r="M53" s="62">
        <f t="shared" si="4"/>
        <v>0</v>
      </c>
      <c r="N53" s="62">
        <f t="shared" si="11"/>
        <v>0</v>
      </c>
    </row>
    <row r="54" spans="1:14">
      <c r="A54" s="59"/>
      <c r="B54" s="1" t="s">
        <v>166</v>
      </c>
      <c r="C54" s="60">
        <f>'Données conventions bilatérales'!C11</f>
        <v>0</v>
      </c>
      <c r="D54" s="56" t="e">
        <f t="shared" si="5"/>
        <v>#DIV/0!</v>
      </c>
      <c r="E54" s="61">
        <f>'Données conventions bilatérales'!J11</f>
        <v>0</v>
      </c>
      <c r="F54" s="56" t="e">
        <f t="shared" si="6"/>
        <v>#DIV/0!</v>
      </c>
      <c r="G54" s="61">
        <f>'Données conventions bilatérales'!Q11+'Données conventions bilatérales'!X11+'Données conventions bilatérales'!Z11+'Données conventions bilatérales'!AB11+'Données conventions bilatérales'!AD11+'Données conventions bilatérales'!AF11</f>
        <v>0</v>
      </c>
      <c r="H54" s="56" t="e">
        <f t="shared" si="7"/>
        <v>#DIV/0!</v>
      </c>
      <c r="I54" s="55">
        <f t="shared" si="8"/>
        <v>0</v>
      </c>
      <c r="J54" s="56" t="e">
        <f t="shared" si="9"/>
        <v>#DIV/0!</v>
      </c>
      <c r="K54" s="19"/>
      <c r="L54" s="62">
        <f t="shared" si="10"/>
        <v>0</v>
      </c>
      <c r="M54" s="62">
        <f t="shared" si="4"/>
        <v>0</v>
      </c>
      <c r="N54" s="62">
        <f t="shared" si="11"/>
        <v>0</v>
      </c>
    </row>
    <row r="55" spans="1:14">
      <c r="A55" s="59"/>
      <c r="B55" s="1" t="s">
        <v>167</v>
      </c>
      <c r="C55" s="60">
        <f>'Données conventions bilatérales'!C12</f>
        <v>0</v>
      </c>
      <c r="D55" s="56" t="e">
        <f t="shared" si="5"/>
        <v>#DIV/0!</v>
      </c>
      <c r="E55" s="61">
        <f>'Données conventions bilatérales'!J12</f>
        <v>0</v>
      </c>
      <c r="F55" s="56" t="e">
        <f t="shared" si="6"/>
        <v>#DIV/0!</v>
      </c>
      <c r="G55" s="61">
        <f>'Données conventions bilatérales'!Q12+'Données conventions bilatérales'!X12+'Données conventions bilatérales'!Z12+'Données conventions bilatérales'!AB12+'Données conventions bilatérales'!AD12+'Données conventions bilatérales'!AF12</f>
        <v>0</v>
      </c>
      <c r="H55" s="56" t="e">
        <f t="shared" si="7"/>
        <v>#DIV/0!</v>
      </c>
      <c r="I55" s="55">
        <f t="shared" si="8"/>
        <v>0</v>
      </c>
      <c r="J55" s="56" t="e">
        <f t="shared" si="9"/>
        <v>#DIV/0!</v>
      </c>
      <c r="K55" s="19"/>
      <c r="L55" s="62">
        <f t="shared" si="10"/>
        <v>0</v>
      </c>
      <c r="M55" s="62">
        <f t="shared" si="4"/>
        <v>0</v>
      </c>
      <c r="N55" s="62">
        <f t="shared" si="11"/>
        <v>0</v>
      </c>
    </row>
    <row r="56" spans="1:14">
      <c r="A56" s="59"/>
      <c r="B56" s="1" t="s">
        <v>168</v>
      </c>
      <c r="C56" s="60">
        <f>'Données conventions bilatérales'!C13</f>
        <v>0</v>
      </c>
      <c r="D56" s="56" t="e">
        <f t="shared" si="5"/>
        <v>#DIV/0!</v>
      </c>
      <c r="E56" s="61">
        <f>'Données conventions bilatérales'!J13</f>
        <v>0</v>
      </c>
      <c r="F56" s="56" t="e">
        <f t="shared" si="6"/>
        <v>#DIV/0!</v>
      </c>
      <c r="G56" s="61">
        <f>'Données conventions bilatérales'!Q13+'Données conventions bilatérales'!X13+'Données conventions bilatérales'!Z13+'Données conventions bilatérales'!AB13+'Données conventions bilatérales'!AD13+'Données conventions bilatérales'!AF13</f>
        <v>0</v>
      </c>
      <c r="H56" s="56" t="e">
        <f t="shared" si="7"/>
        <v>#DIV/0!</v>
      </c>
      <c r="I56" s="55">
        <f t="shared" si="8"/>
        <v>0</v>
      </c>
      <c r="J56" s="56" t="e">
        <f t="shared" si="9"/>
        <v>#DIV/0!</v>
      </c>
      <c r="K56" s="19"/>
      <c r="L56" s="62">
        <f t="shared" si="10"/>
        <v>0</v>
      </c>
      <c r="M56" s="62">
        <f t="shared" si="4"/>
        <v>0</v>
      </c>
      <c r="N56" s="62">
        <f t="shared" si="11"/>
        <v>0</v>
      </c>
    </row>
    <row r="57" spans="1:14">
      <c r="A57" s="59"/>
      <c r="B57" s="1" t="s">
        <v>113</v>
      </c>
      <c r="C57" s="60">
        <f>'Données conventions bilatérales'!C14</f>
        <v>0</v>
      </c>
      <c r="D57" s="56" t="e">
        <f t="shared" si="5"/>
        <v>#DIV/0!</v>
      </c>
      <c r="E57" s="61">
        <f>'Données conventions bilatérales'!J14</f>
        <v>0</v>
      </c>
      <c r="F57" s="56" t="e">
        <f t="shared" si="6"/>
        <v>#DIV/0!</v>
      </c>
      <c r="G57" s="61">
        <f>'Données conventions bilatérales'!Q14+'Données conventions bilatérales'!X14+'Données conventions bilatérales'!Z14+'Données conventions bilatérales'!AB14+'Données conventions bilatérales'!AD14+'Données conventions bilatérales'!AF14</f>
        <v>0</v>
      </c>
      <c r="H57" s="56" t="e">
        <f t="shared" si="7"/>
        <v>#DIV/0!</v>
      </c>
      <c r="I57" s="55">
        <f t="shared" si="8"/>
        <v>0</v>
      </c>
      <c r="J57" s="56" t="e">
        <f t="shared" si="9"/>
        <v>#DIV/0!</v>
      </c>
      <c r="K57" s="19"/>
      <c r="L57" s="62">
        <f t="shared" si="10"/>
        <v>0</v>
      </c>
      <c r="M57" s="62">
        <f t="shared" si="4"/>
        <v>0</v>
      </c>
      <c r="N57" s="62">
        <f t="shared" si="11"/>
        <v>0</v>
      </c>
    </row>
    <row r="58" spans="1:14">
      <c r="A58" s="59"/>
      <c r="B58" s="1" t="s">
        <v>169</v>
      </c>
      <c r="C58" s="60">
        <f>'Données conventions bilatérales'!C15</f>
        <v>0</v>
      </c>
      <c r="D58" s="56">
        <f t="shared" si="5"/>
        <v>0</v>
      </c>
      <c r="E58" s="61">
        <f>'Données conventions bilatérales'!J15</f>
        <v>1</v>
      </c>
      <c r="F58" s="56">
        <f t="shared" si="6"/>
        <v>1</v>
      </c>
      <c r="G58" s="61">
        <f>'Données conventions bilatérales'!Q15+'Données conventions bilatérales'!X15+'Données conventions bilatérales'!Z15+'Données conventions bilatérales'!AB15+'Données conventions bilatérales'!AD15+'Données conventions bilatérales'!AF15</f>
        <v>0</v>
      </c>
      <c r="H58" s="56">
        <f t="shared" si="7"/>
        <v>0</v>
      </c>
      <c r="I58" s="55">
        <f t="shared" si="8"/>
        <v>1</v>
      </c>
      <c r="J58" s="56">
        <f t="shared" si="9"/>
        <v>1</v>
      </c>
      <c r="K58" s="19"/>
      <c r="L58" s="62">
        <f t="shared" si="10"/>
        <v>0</v>
      </c>
      <c r="M58" s="62">
        <f t="shared" si="4"/>
        <v>3.2786885245901639E-3</v>
      </c>
      <c r="N58" s="62">
        <f t="shared" si="11"/>
        <v>0</v>
      </c>
    </row>
    <row r="59" spans="1:14">
      <c r="A59" s="59"/>
      <c r="B59" s="1" t="s">
        <v>170</v>
      </c>
      <c r="C59" s="60">
        <f>'Données conventions bilatérales'!C16</f>
        <v>0</v>
      </c>
      <c r="D59" s="56" t="e">
        <f t="shared" si="5"/>
        <v>#DIV/0!</v>
      </c>
      <c r="E59" s="61">
        <f>'Données conventions bilatérales'!J16</f>
        <v>0</v>
      </c>
      <c r="F59" s="56" t="e">
        <f t="shared" si="6"/>
        <v>#DIV/0!</v>
      </c>
      <c r="G59" s="61">
        <f>'Données conventions bilatérales'!Q16+'Données conventions bilatérales'!X16+'Données conventions bilatérales'!Z16+'Données conventions bilatérales'!AB16+'Données conventions bilatérales'!AD16+'Données conventions bilatérales'!AF16</f>
        <v>0</v>
      </c>
      <c r="H59" s="56" t="e">
        <f t="shared" si="7"/>
        <v>#DIV/0!</v>
      </c>
      <c r="I59" s="55">
        <f t="shared" si="8"/>
        <v>0</v>
      </c>
      <c r="J59" s="56" t="e">
        <f t="shared" si="9"/>
        <v>#DIV/0!</v>
      </c>
      <c r="K59" s="19"/>
      <c r="L59" s="62">
        <f t="shared" si="10"/>
        <v>0</v>
      </c>
      <c r="M59" s="62">
        <f t="shared" si="4"/>
        <v>0</v>
      </c>
      <c r="N59" s="62">
        <f t="shared" si="11"/>
        <v>0</v>
      </c>
    </row>
    <row r="60" spans="1:14">
      <c r="A60" s="59"/>
      <c r="B60" s="1" t="s">
        <v>44</v>
      </c>
      <c r="C60" s="60">
        <f>'Données conventions bilatérales'!C17</f>
        <v>1</v>
      </c>
      <c r="D60" s="56">
        <f t="shared" si="5"/>
        <v>7.1428571428571425E-2</v>
      </c>
      <c r="E60" s="61">
        <f>'Données conventions bilatérales'!J17</f>
        <v>0</v>
      </c>
      <c r="F60" s="56">
        <f t="shared" si="6"/>
        <v>0</v>
      </c>
      <c r="G60" s="61">
        <f>'Données conventions bilatérales'!Q17+'Données conventions bilatérales'!X17+'Données conventions bilatérales'!Z17+'Données conventions bilatérales'!AB17+'Données conventions bilatérales'!AD17+'Données conventions bilatérales'!AF17</f>
        <v>13</v>
      </c>
      <c r="H60" s="56">
        <f t="shared" si="7"/>
        <v>0.9285714285714286</v>
      </c>
      <c r="I60" s="55">
        <f t="shared" si="8"/>
        <v>14</v>
      </c>
      <c r="J60" s="56">
        <f t="shared" si="9"/>
        <v>1</v>
      </c>
      <c r="K60" s="19"/>
      <c r="L60" s="62">
        <f t="shared" si="10"/>
        <v>2.0408163265306124E-3</v>
      </c>
      <c r="M60" s="62">
        <f t="shared" si="4"/>
        <v>0</v>
      </c>
      <c r="N60" s="62">
        <f t="shared" si="11"/>
        <v>9.1112980095318192E-4</v>
      </c>
    </row>
    <row r="61" spans="1:14">
      <c r="A61" s="59"/>
      <c r="B61" s="1" t="s">
        <v>171</v>
      </c>
      <c r="C61" s="60">
        <f>'Données conventions bilatérales'!C18</f>
        <v>0</v>
      </c>
      <c r="D61" s="56" t="e">
        <f t="shared" si="5"/>
        <v>#DIV/0!</v>
      </c>
      <c r="E61" s="61"/>
      <c r="F61" s="56" t="e">
        <f t="shared" si="6"/>
        <v>#DIV/0!</v>
      </c>
      <c r="G61" s="61">
        <f>'Données conventions bilatérales'!Q18+'Données conventions bilatérales'!X18+'Données conventions bilatérales'!Z18+'Données conventions bilatérales'!AB18+'Données conventions bilatérales'!AD18+'Données conventions bilatérales'!AF18</f>
        <v>0</v>
      </c>
      <c r="H61" s="56" t="e">
        <f t="shared" si="7"/>
        <v>#DIV/0!</v>
      </c>
      <c r="I61" s="55">
        <f t="shared" si="8"/>
        <v>0</v>
      </c>
      <c r="J61" s="56" t="e">
        <f t="shared" si="9"/>
        <v>#DIV/0!</v>
      </c>
      <c r="K61" s="19"/>
      <c r="L61" s="62">
        <f t="shared" si="10"/>
        <v>0</v>
      </c>
      <c r="M61" s="62">
        <f t="shared" si="4"/>
        <v>0</v>
      </c>
      <c r="N61" s="62">
        <f t="shared" si="11"/>
        <v>0</v>
      </c>
    </row>
    <row r="62" spans="1:14">
      <c r="A62" s="59"/>
      <c r="B62" s="1" t="s">
        <v>46</v>
      </c>
      <c r="C62" s="60">
        <f>'Données conventions bilatérales'!C19</f>
        <v>0</v>
      </c>
      <c r="D62" s="56">
        <f t="shared" si="5"/>
        <v>0</v>
      </c>
      <c r="E62" s="61">
        <f>'Données conventions bilatérales'!J19</f>
        <v>1</v>
      </c>
      <c r="F62" s="56">
        <f t="shared" si="6"/>
        <v>0.16666666666666666</v>
      </c>
      <c r="G62" s="61">
        <f>'Données conventions bilatérales'!Q19+'Données conventions bilatérales'!X19+'Données conventions bilatérales'!Z19+'Données conventions bilatérales'!AB19+'Données conventions bilatérales'!AD19+'Données conventions bilatérales'!AF19</f>
        <v>5</v>
      </c>
      <c r="H62" s="56">
        <f t="shared" si="7"/>
        <v>0.83333333333333337</v>
      </c>
      <c r="I62" s="55">
        <f t="shared" si="8"/>
        <v>6</v>
      </c>
      <c r="J62" s="56">
        <f t="shared" si="9"/>
        <v>1</v>
      </c>
      <c r="K62" s="19"/>
      <c r="L62" s="62">
        <f t="shared" si="10"/>
        <v>0</v>
      </c>
      <c r="M62" s="62">
        <f t="shared" si="4"/>
        <v>3.2786885245901639E-3</v>
      </c>
      <c r="N62" s="62">
        <f t="shared" si="11"/>
        <v>3.5043453882814692E-4</v>
      </c>
    </row>
    <row r="63" spans="1:14">
      <c r="A63" s="59"/>
      <c r="B63" s="1" t="s">
        <v>47</v>
      </c>
      <c r="C63" s="60">
        <f>'Données conventions bilatérales'!C20</f>
        <v>0</v>
      </c>
      <c r="D63" s="56">
        <f t="shared" si="5"/>
        <v>0</v>
      </c>
      <c r="E63" s="61">
        <f>'Données conventions bilatérales'!J20</f>
        <v>2</v>
      </c>
      <c r="F63" s="56">
        <f t="shared" si="6"/>
        <v>3.125E-2</v>
      </c>
      <c r="G63" s="61">
        <f>'Données conventions bilatérales'!Q20+'Données conventions bilatérales'!X20+'Données conventions bilatérales'!Z20+'Données conventions bilatérales'!AB20+'Données conventions bilatérales'!AD20+'Données conventions bilatérales'!AF20</f>
        <v>62</v>
      </c>
      <c r="H63" s="56">
        <f t="shared" si="7"/>
        <v>0.96875</v>
      </c>
      <c r="I63" s="55">
        <f t="shared" si="8"/>
        <v>64</v>
      </c>
      <c r="J63" s="56">
        <f t="shared" si="9"/>
        <v>1</v>
      </c>
      <c r="K63" s="19"/>
      <c r="L63" s="62">
        <f t="shared" si="10"/>
        <v>0</v>
      </c>
      <c r="M63" s="62">
        <f t="shared" si="4"/>
        <v>6.5573770491803279E-3</v>
      </c>
      <c r="N63" s="62">
        <f t="shared" si="11"/>
        <v>4.3453882814690212E-3</v>
      </c>
    </row>
    <row r="64" spans="1:14">
      <c r="A64" s="59"/>
      <c r="B64" s="1" t="s">
        <v>172</v>
      </c>
      <c r="C64" s="60">
        <f>'Données conventions bilatérales'!C21</f>
        <v>0</v>
      </c>
      <c r="D64" s="56" t="e">
        <f t="shared" si="5"/>
        <v>#DIV/0!</v>
      </c>
      <c r="E64" s="61">
        <f>'Données conventions bilatérales'!J21</f>
        <v>0</v>
      </c>
      <c r="F64" s="56" t="e">
        <f t="shared" si="6"/>
        <v>#DIV/0!</v>
      </c>
      <c r="G64" s="61">
        <f>'Données conventions bilatérales'!Q21+'Données conventions bilatérales'!X21+'Données conventions bilatérales'!Z21+'Données conventions bilatérales'!AB21+'Données conventions bilatérales'!AD21+'Données conventions bilatérales'!AF21</f>
        <v>0</v>
      </c>
      <c r="H64" s="56" t="e">
        <f t="shared" si="7"/>
        <v>#DIV/0!</v>
      </c>
      <c r="I64" s="55">
        <f t="shared" si="8"/>
        <v>0</v>
      </c>
      <c r="J64" s="56" t="e">
        <f t="shared" si="9"/>
        <v>#DIV/0!</v>
      </c>
      <c r="K64" s="19"/>
      <c r="L64" s="62">
        <f t="shared" si="10"/>
        <v>0</v>
      </c>
      <c r="M64" s="62">
        <f t="shared" si="4"/>
        <v>0</v>
      </c>
      <c r="N64" s="62">
        <f t="shared" si="11"/>
        <v>0</v>
      </c>
    </row>
    <row r="65" spans="1:14">
      <c r="A65" s="59"/>
      <c r="B65" s="1" t="s">
        <v>112</v>
      </c>
      <c r="C65" s="60">
        <f>'Données conventions bilatérales'!C22</f>
        <v>0</v>
      </c>
      <c r="D65" s="56">
        <f t="shared" si="5"/>
        <v>0</v>
      </c>
      <c r="E65" s="61">
        <f>'Données conventions bilatérales'!J22</f>
        <v>0</v>
      </c>
      <c r="F65" s="56">
        <f t="shared" si="6"/>
        <v>0</v>
      </c>
      <c r="G65" s="61">
        <f>'Données conventions bilatérales'!Q22+'Données conventions bilatérales'!X22+'Données conventions bilatérales'!Z22+'Données conventions bilatérales'!AB22+'Données conventions bilatérales'!AD22+'Données conventions bilatérales'!AF22</f>
        <v>6</v>
      </c>
      <c r="H65" s="56">
        <f t="shared" si="7"/>
        <v>1</v>
      </c>
      <c r="I65" s="55">
        <f t="shared" si="8"/>
        <v>6</v>
      </c>
      <c r="J65" s="56">
        <f t="shared" si="9"/>
        <v>1</v>
      </c>
      <c r="K65" s="19"/>
      <c r="L65" s="62">
        <f t="shared" si="10"/>
        <v>0</v>
      </c>
      <c r="M65" s="62">
        <f t="shared" si="4"/>
        <v>0</v>
      </c>
      <c r="N65" s="62">
        <f t="shared" si="11"/>
        <v>4.2052144659377626E-4</v>
      </c>
    </row>
    <row r="66" spans="1:14">
      <c r="A66" s="59"/>
      <c r="B66" s="1" t="s">
        <v>173</v>
      </c>
      <c r="C66" s="60">
        <f>'Données conventions bilatérales'!C23</f>
        <v>0</v>
      </c>
      <c r="D66" s="56" t="e">
        <f t="shared" si="5"/>
        <v>#DIV/0!</v>
      </c>
      <c r="E66" s="61">
        <f>'Données conventions bilatérales'!J23</f>
        <v>0</v>
      </c>
      <c r="F66" s="56" t="e">
        <f t="shared" si="6"/>
        <v>#DIV/0!</v>
      </c>
      <c r="G66" s="61">
        <f>'Données conventions bilatérales'!Q23+'Données conventions bilatérales'!X23+'Données conventions bilatérales'!Z23+'Données conventions bilatérales'!AB23+'Données conventions bilatérales'!AD23+'Données conventions bilatérales'!AF23</f>
        <v>0</v>
      </c>
      <c r="H66" s="56" t="e">
        <f t="shared" si="7"/>
        <v>#DIV/0!</v>
      </c>
      <c r="I66" s="55">
        <f t="shared" si="8"/>
        <v>0</v>
      </c>
      <c r="J66" s="56" t="e">
        <f t="shared" si="9"/>
        <v>#DIV/0!</v>
      </c>
      <c r="K66" s="19"/>
      <c r="L66" s="62">
        <f t="shared" si="10"/>
        <v>0</v>
      </c>
      <c r="M66" s="62">
        <f t="shared" si="4"/>
        <v>0</v>
      </c>
      <c r="N66" s="62">
        <f t="shared" si="11"/>
        <v>0</v>
      </c>
    </row>
    <row r="67" spans="1:14">
      <c r="A67" s="59"/>
      <c r="B67" s="1" t="s">
        <v>51</v>
      </c>
      <c r="C67" s="60">
        <f>'Données conventions bilatérales'!C24</f>
        <v>345</v>
      </c>
      <c r="D67" s="56">
        <f t="shared" si="5"/>
        <v>0.42227662178702569</v>
      </c>
      <c r="E67" s="61">
        <f>'Données conventions bilatérales'!J24</f>
        <v>114</v>
      </c>
      <c r="F67" s="56">
        <f t="shared" si="6"/>
        <v>0.13953488372093023</v>
      </c>
      <c r="G67" s="61">
        <f>'Données conventions bilatérales'!Q24+'Données conventions bilatérales'!X24+'Données conventions bilatérales'!Z24+'Données conventions bilatérales'!AB24+'Données conventions bilatérales'!AD24+'Données conventions bilatérales'!AF24</f>
        <v>358</v>
      </c>
      <c r="H67" s="56">
        <f t="shared" si="7"/>
        <v>0.43818849449204406</v>
      </c>
      <c r="I67" s="55">
        <f t="shared" si="8"/>
        <v>817</v>
      </c>
      <c r="J67" s="56">
        <f t="shared" si="9"/>
        <v>1</v>
      </c>
      <c r="K67" s="19"/>
      <c r="L67" s="62">
        <f t="shared" si="10"/>
        <v>0.70408163265306123</v>
      </c>
      <c r="M67" s="62">
        <f t="shared" si="4"/>
        <v>0.3737704918032787</v>
      </c>
      <c r="N67" s="62">
        <f t="shared" si="11"/>
        <v>2.509111298009532E-2</v>
      </c>
    </row>
    <row r="68" spans="1:14">
      <c r="A68" s="59"/>
      <c r="B68" s="1" t="s">
        <v>50</v>
      </c>
      <c r="C68" s="60">
        <f>'Données conventions bilatérales'!C25</f>
        <v>78</v>
      </c>
      <c r="D68" s="56">
        <f t="shared" si="5"/>
        <v>0.25242718446601942</v>
      </c>
      <c r="E68" s="61">
        <f>'Données conventions bilatérales'!J25</f>
        <v>22</v>
      </c>
      <c r="F68" s="56">
        <f t="shared" si="6"/>
        <v>7.1197411003236247E-2</v>
      </c>
      <c r="G68" s="61">
        <f>'Données conventions bilatérales'!Q25+'Données conventions bilatérales'!X25+'Données conventions bilatérales'!Z25+'Données conventions bilatérales'!AB25+'Données conventions bilatérales'!AD25+'Données conventions bilatérales'!AF25</f>
        <v>209</v>
      </c>
      <c r="H68" s="56">
        <f t="shared" si="7"/>
        <v>0.6763754045307443</v>
      </c>
      <c r="I68" s="55">
        <f t="shared" si="8"/>
        <v>309</v>
      </c>
      <c r="J68" s="56">
        <f t="shared" si="9"/>
        <v>1</v>
      </c>
      <c r="K68" s="19"/>
      <c r="L68" s="62">
        <f t="shared" si="10"/>
        <v>0.15918367346938775</v>
      </c>
      <c r="M68" s="62">
        <f t="shared" si="4"/>
        <v>7.2131147540983612E-2</v>
      </c>
      <c r="N68" s="62">
        <f t="shared" si="11"/>
        <v>1.4648163723016541E-2</v>
      </c>
    </row>
    <row r="69" spans="1:14">
      <c r="A69" s="59"/>
      <c r="B69" s="1" t="s">
        <v>183</v>
      </c>
      <c r="C69" s="60">
        <f>'Données conventions bilatérales'!C26</f>
        <v>42</v>
      </c>
      <c r="D69" s="56">
        <f t="shared" si="5"/>
        <v>0.13333333333333333</v>
      </c>
      <c r="E69" s="61">
        <f>'Données conventions bilatérales'!J26</f>
        <v>16</v>
      </c>
      <c r="F69" s="56">
        <f t="shared" si="6"/>
        <v>5.0793650793650794E-2</v>
      </c>
      <c r="G69" s="61">
        <f>'Données conventions bilatérales'!Q26+'Données conventions bilatérales'!X26+'Données conventions bilatérales'!Z26+'Données conventions bilatérales'!AB26+'Données conventions bilatérales'!AD26+'Données conventions bilatérales'!AF26</f>
        <v>257</v>
      </c>
      <c r="H69" s="56">
        <f t="shared" si="7"/>
        <v>0.81587301587301586</v>
      </c>
      <c r="I69" s="55">
        <f t="shared" si="8"/>
        <v>315</v>
      </c>
      <c r="J69" s="56">
        <f t="shared" si="9"/>
        <v>1</v>
      </c>
      <c r="K69" s="19"/>
      <c r="L69" s="62">
        <f t="shared" si="10"/>
        <v>8.5714285714285715E-2</v>
      </c>
      <c r="M69" s="62">
        <f t="shared" si="4"/>
        <v>5.2459016393442623E-2</v>
      </c>
      <c r="N69" s="62">
        <f t="shared" si="11"/>
        <v>1.8012335295766752E-2</v>
      </c>
    </row>
    <row r="70" spans="1:14">
      <c r="A70" s="59"/>
      <c r="B70" s="1" t="s">
        <v>114</v>
      </c>
      <c r="C70" s="60">
        <f>'Données conventions bilatérales'!C27</f>
        <v>3</v>
      </c>
      <c r="D70" s="56">
        <f t="shared" si="5"/>
        <v>0.6</v>
      </c>
      <c r="E70" s="61">
        <f>'Données conventions bilatérales'!J27</f>
        <v>0</v>
      </c>
      <c r="F70" s="56">
        <f t="shared" si="6"/>
        <v>0</v>
      </c>
      <c r="G70" s="61">
        <f>'Données conventions bilatérales'!Q27+'Données conventions bilatérales'!X27+'Données conventions bilatérales'!Z27+'Données conventions bilatérales'!AB27+'Données conventions bilatérales'!AD27+'Données conventions bilatérales'!AF27</f>
        <v>2</v>
      </c>
      <c r="H70" s="56">
        <f t="shared" si="7"/>
        <v>0.4</v>
      </c>
      <c r="I70" s="55">
        <f t="shared" si="8"/>
        <v>5</v>
      </c>
      <c r="J70" s="56">
        <f t="shared" si="9"/>
        <v>1</v>
      </c>
      <c r="K70" s="19"/>
      <c r="L70" s="62">
        <f t="shared" si="10"/>
        <v>6.1224489795918364E-3</v>
      </c>
      <c r="M70" s="62">
        <f t="shared" si="4"/>
        <v>0</v>
      </c>
      <c r="N70" s="62">
        <f t="shared" si="11"/>
        <v>1.4017381553125876E-4</v>
      </c>
    </row>
    <row r="71" spans="1:14">
      <c r="A71" s="59"/>
      <c r="B71" s="1" t="s">
        <v>174</v>
      </c>
      <c r="C71" s="60">
        <f>'Données conventions bilatérales'!C28</f>
        <v>0</v>
      </c>
      <c r="D71" s="56" t="e">
        <f t="shared" si="5"/>
        <v>#DIV/0!</v>
      </c>
      <c r="E71" s="61">
        <f>'Données conventions bilatérales'!J28</f>
        <v>0</v>
      </c>
      <c r="F71" s="56" t="e">
        <f t="shared" si="6"/>
        <v>#DIV/0!</v>
      </c>
      <c r="G71" s="61">
        <f>'Données conventions bilatérales'!Q28+'Données conventions bilatérales'!X28+'Données conventions bilatérales'!Z28+'Données conventions bilatérales'!AB28+'Données conventions bilatérales'!AD28+'Données conventions bilatérales'!AF28</f>
        <v>0</v>
      </c>
      <c r="H71" s="56" t="e">
        <f t="shared" si="7"/>
        <v>#DIV/0!</v>
      </c>
      <c r="I71" s="55">
        <f t="shared" si="8"/>
        <v>0</v>
      </c>
      <c r="J71" s="56" t="e">
        <f t="shared" si="9"/>
        <v>#DIV/0!</v>
      </c>
      <c r="K71" s="19"/>
      <c r="L71" s="62">
        <f t="shared" si="10"/>
        <v>0</v>
      </c>
      <c r="M71" s="62">
        <f t="shared" si="4"/>
        <v>0</v>
      </c>
      <c r="N71" s="62">
        <f t="shared" si="11"/>
        <v>0</v>
      </c>
    </row>
    <row r="72" spans="1:14">
      <c r="A72" s="59"/>
      <c r="B72" s="1" t="s">
        <v>175</v>
      </c>
      <c r="C72" s="60">
        <f>'Données conventions bilatérales'!C29</f>
        <v>0</v>
      </c>
      <c r="D72" s="56">
        <f t="shared" si="5"/>
        <v>0</v>
      </c>
      <c r="E72" s="61">
        <f>'Données conventions bilatérales'!J29</f>
        <v>0</v>
      </c>
      <c r="F72" s="56">
        <f t="shared" si="6"/>
        <v>0</v>
      </c>
      <c r="G72" s="61">
        <f>'Données conventions bilatérales'!Q29+'Données conventions bilatérales'!X29+'Données conventions bilatérales'!Z29+'Données conventions bilatérales'!AB29+'Données conventions bilatérales'!AD29+'Données conventions bilatérales'!AF29</f>
        <v>22</v>
      </c>
      <c r="H72" s="56">
        <f t="shared" si="7"/>
        <v>1</v>
      </c>
      <c r="I72" s="55">
        <f t="shared" si="8"/>
        <v>22</v>
      </c>
      <c r="J72" s="56">
        <f t="shared" si="9"/>
        <v>1</v>
      </c>
      <c r="K72" s="19"/>
      <c r="L72" s="62">
        <f t="shared" si="10"/>
        <v>0</v>
      </c>
      <c r="M72" s="62">
        <f t="shared" si="4"/>
        <v>0</v>
      </c>
      <c r="N72" s="62">
        <f t="shared" si="11"/>
        <v>1.5419119708438463E-3</v>
      </c>
    </row>
    <row r="73" spans="1:14">
      <c r="A73" s="59"/>
      <c r="B73" s="1" t="s">
        <v>176</v>
      </c>
      <c r="C73" s="60">
        <f>'Données conventions bilatérales'!C30</f>
        <v>0</v>
      </c>
      <c r="D73" s="56" t="e">
        <f t="shared" si="5"/>
        <v>#DIV/0!</v>
      </c>
      <c r="E73" s="61"/>
      <c r="F73" s="56" t="e">
        <f t="shared" si="6"/>
        <v>#DIV/0!</v>
      </c>
      <c r="G73" s="61">
        <f>'Données conventions bilatérales'!Q30+'Données conventions bilatérales'!X30+'Données conventions bilatérales'!Z30+'Données conventions bilatérales'!AB30+'Données conventions bilatérales'!AD30+'Données conventions bilatérales'!AF30</f>
        <v>0</v>
      </c>
      <c r="H73" s="56" t="e">
        <f t="shared" si="7"/>
        <v>#DIV/0!</v>
      </c>
      <c r="I73" s="55">
        <f t="shared" si="8"/>
        <v>0</v>
      </c>
      <c r="J73" s="56" t="e">
        <f t="shared" si="9"/>
        <v>#DIV/0!</v>
      </c>
      <c r="K73" s="19"/>
      <c r="L73" s="62">
        <f t="shared" si="10"/>
        <v>0</v>
      </c>
      <c r="M73" s="62">
        <f t="shared" si="4"/>
        <v>0</v>
      </c>
      <c r="N73" s="62">
        <f t="shared" si="11"/>
        <v>0</v>
      </c>
    </row>
    <row r="74" spans="1:14">
      <c r="A74" s="59"/>
      <c r="B74" s="1" t="s">
        <v>48</v>
      </c>
      <c r="C74" s="60">
        <f>'Données conventions bilatérales'!C31</f>
        <v>5</v>
      </c>
      <c r="D74" s="56">
        <f t="shared" si="5"/>
        <v>3.1645569620253167E-2</v>
      </c>
      <c r="E74" s="61">
        <f>'Données conventions bilatérales'!J31</f>
        <v>0</v>
      </c>
      <c r="F74" s="56">
        <f t="shared" si="6"/>
        <v>0</v>
      </c>
      <c r="G74" s="61">
        <f>'Données conventions bilatérales'!Q31+'Données conventions bilatérales'!X31+'Données conventions bilatérales'!Z31+'Données conventions bilatérales'!AB31+'Données conventions bilatérales'!AD31+'Données conventions bilatérales'!AF31</f>
        <v>153</v>
      </c>
      <c r="H74" s="56">
        <f t="shared" si="7"/>
        <v>0.96835443037974689</v>
      </c>
      <c r="I74" s="55">
        <f t="shared" si="8"/>
        <v>158</v>
      </c>
      <c r="J74" s="56">
        <f t="shared" si="9"/>
        <v>1</v>
      </c>
      <c r="K74" s="19"/>
      <c r="L74" s="62">
        <f t="shared" si="10"/>
        <v>1.020408163265306E-2</v>
      </c>
      <c r="M74" s="62">
        <f t="shared" si="4"/>
        <v>0</v>
      </c>
      <c r="N74" s="62">
        <f t="shared" si="11"/>
        <v>1.0723296888141295E-2</v>
      </c>
    </row>
    <row r="75" spans="1:14">
      <c r="A75" s="59"/>
      <c r="B75" s="1" t="s">
        <v>45</v>
      </c>
      <c r="C75" s="60">
        <f>'Données conventions bilatérales'!C32</f>
        <v>0</v>
      </c>
      <c r="D75" s="56">
        <f>C75/I75</f>
        <v>0</v>
      </c>
      <c r="E75" s="61">
        <f>'Données conventions bilatérales'!J32</f>
        <v>0</v>
      </c>
      <c r="F75" s="56">
        <f>E75/I75</f>
        <v>0</v>
      </c>
      <c r="G75" s="61">
        <f>'Données conventions bilatérales'!Q32+'Données conventions bilatérales'!X32+'Données conventions bilatérales'!Z32+'Données conventions bilatérales'!AB32+'Données conventions bilatérales'!AD32+'Données conventions bilatérales'!AF32</f>
        <v>227</v>
      </c>
      <c r="H75" s="56">
        <f>G75/I75</f>
        <v>1</v>
      </c>
      <c r="I75" s="55">
        <f>C75+E75+G75</f>
        <v>227</v>
      </c>
      <c r="J75" s="56">
        <f>D75+F75+H75</f>
        <v>1</v>
      </c>
      <c r="K75" s="19"/>
      <c r="L75" s="62">
        <f t="shared" si="10"/>
        <v>0</v>
      </c>
      <c r="M75" s="62">
        <f t="shared" si="4"/>
        <v>0</v>
      </c>
      <c r="N75" s="62">
        <f t="shared" si="11"/>
        <v>1.5909728062797869E-2</v>
      </c>
    </row>
    <row r="76" spans="1:14">
      <c r="A76" s="59"/>
      <c r="B76" s="245" t="s">
        <v>192</v>
      </c>
      <c r="C76" s="60">
        <f>'Données conventions bilatérales'!C33</f>
        <v>0</v>
      </c>
      <c r="D76" s="56" t="e">
        <f>C76/I76</f>
        <v>#DIV/0!</v>
      </c>
      <c r="E76" s="61">
        <f>'Données conventions bilatérales'!J33</f>
        <v>0</v>
      </c>
      <c r="F76" s="56" t="e">
        <f>E76/I76</f>
        <v>#DIV/0!</v>
      </c>
      <c r="G76" s="61">
        <f>'Données conventions bilatérales'!Q33+'Données conventions bilatérales'!X33+'Données conventions bilatérales'!Z33+'Données conventions bilatérales'!AB33+'Données conventions bilatérales'!AD33+'Données conventions bilatérales'!AF33</f>
        <v>0</v>
      </c>
      <c r="H76" s="56" t="e">
        <f>G76/I76</f>
        <v>#DIV/0!</v>
      </c>
      <c r="I76" s="55">
        <f>C76+E76+G76</f>
        <v>0</v>
      </c>
      <c r="J76" s="56" t="e">
        <f>D76+F76+H76</f>
        <v>#DIV/0!</v>
      </c>
      <c r="K76" s="19"/>
      <c r="L76" s="62">
        <f>C76/$C$77</f>
        <v>0</v>
      </c>
      <c r="M76" s="62">
        <f t="shared" ref="M76" si="12">E76/$E$77</f>
        <v>0</v>
      </c>
      <c r="N76" s="62">
        <f t="shared" ref="N76" si="13">G76/$G$77</f>
        <v>0</v>
      </c>
    </row>
    <row r="77" spans="1:14">
      <c r="A77" s="59"/>
      <c r="B77" s="143" t="s">
        <v>36</v>
      </c>
      <c r="C77" s="63">
        <f>SUM(C49:C76)</f>
        <v>490</v>
      </c>
      <c r="D77" s="57">
        <f>C77/I77</f>
        <v>3.2530040496581029E-2</v>
      </c>
      <c r="E77" s="63">
        <f>SUM(E49:E76)</f>
        <v>305</v>
      </c>
      <c r="F77" s="57">
        <f>E77/I77</f>
        <v>2.0248290513177985E-2</v>
      </c>
      <c r="G77" s="63">
        <f>SUM(G49:G76)</f>
        <v>14268</v>
      </c>
      <c r="H77" s="57">
        <f>G77/I77</f>
        <v>0.94722166899024096</v>
      </c>
      <c r="I77" s="133">
        <f>IF(SUM(I49:I76)=C77+E77+G77,SUM(I49:I76),"Faux")</f>
        <v>15063</v>
      </c>
      <c r="J77" s="57">
        <f>D77+F77+H77</f>
        <v>1</v>
      </c>
      <c r="K77" s="19"/>
      <c r="L77" s="64">
        <f>C77/$C$77</f>
        <v>1</v>
      </c>
      <c r="M77" s="64">
        <f>E77/$E$77</f>
        <v>1</v>
      </c>
      <c r="N77" s="64">
        <f>G77/$G$77</f>
        <v>1</v>
      </c>
    </row>
    <row r="78" spans="1:14">
      <c r="B78" s="202" t="s">
        <v>198</v>
      </c>
    </row>
    <row r="80" spans="1:14">
      <c r="B80" s="40" t="s">
        <v>184</v>
      </c>
    </row>
  </sheetData>
  <mergeCells count="5">
    <mergeCell ref="C3:D3"/>
    <mergeCell ref="C48:D48"/>
    <mergeCell ref="E48:F48"/>
    <mergeCell ref="G48:H48"/>
    <mergeCell ref="I48:J48"/>
  </mergeCells>
  <conditionalFormatting sqref="M49:M76">
    <cfRule type="top10" dxfId="5" priority="25" rank="4"/>
  </conditionalFormatting>
  <conditionalFormatting sqref="N49:N76">
    <cfRule type="top10" dxfId="4" priority="27" rank="4"/>
  </conditionalFormatting>
  <conditionalFormatting sqref="L49:L76">
    <cfRule type="top10" dxfId="3" priority="29" rank="3"/>
  </conditionalFormatting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1">
    <tabColor theme="8" tint="-0.249977111117893"/>
  </sheetPr>
  <dimension ref="A1:R86"/>
  <sheetViews>
    <sheetView zoomScale="80" zoomScaleNormal="80" workbookViewId="0"/>
  </sheetViews>
  <sheetFormatPr baseColWidth="10" defaultRowHeight="15"/>
  <cols>
    <col min="2" max="2" width="26.140625" customWidth="1"/>
    <col min="3" max="3" width="17.28515625" bestFit="1" customWidth="1"/>
    <col min="4" max="4" width="14.7109375" customWidth="1"/>
    <col min="5" max="5" width="12.140625" customWidth="1"/>
    <col min="6" max="6" width="14.7109375" customWidth="1"/>
    <col min="7" max="7" width="16.7109375" bestFit="1" customWidth="1"/>
    <col min="9" max="9" width="13.140625" customWidth="1"/>
    <col min="10" max="10" width="14.140625" customWidth="1"/>
    <col min="12" max="12" width="13.7109375" customWidth="1"/>
    <col min="13" max="13" width="17.42578125" bestFit="1" customWidth="1"/>
    <col min="14" max="14" width="11" customWidth="1"/>
  </cols>
  <sheetData>
    <row r="1" spans="1:8" ht="15.75" thickBot="1">
      <c r="A1" s="14" t="s">
        <v>58</v>
      </c>
    </row>
    <row r="3" spans="1:8">
      <c r="C3" s="409" t="s">
        <v>82</v>
      </c>
      <c r="D3" s="409"/>
      <c r="E3" s="34" t="s">
        <v>65</v>
      </c>
      <c r="G3" s="31" t="s">
        <v>131</v>
      </c>
    </row>
    <row r="4" spans="1:8">
      <c r="B4" s="1" t="s">
        <v>49</v>
      </c>
      <c r="C4" s="218">
        <f>'Données conventions bilatérales'!AJ6</f>
        <v>50008521.240000002</v>
      </c>
      <c r="D4" s="142">
        <f t="shared" ref="D4:D30" si="0">C4/$C$32</f>
        <v>0.89031014955285048</v>
      </c>
      <c r="E4" s="49">
        <f t="shared" ref="E4:E29" si="1">RANK(C4,$C$4:$C$30)</f>
        <v>1</v>
      </c>
    </row>
    <row r="5" spans="1:8">
      <c r="B5" s="1" t="s">
        <v>43</v>
      </c>
      <c r="C5" s="218">
        <f>'Données conventions bilatérales'!AJ7</f>
        <v>832118.28</v>
      </c>
      <c r="D5" s="142">
        <f t="shared" si="0"/>
        <v>1.4814342274929877E-2</v>
      </c>
      <c r="E5" s="49">
        <f t="shared" si="1"/>
        <v>4</v>
      </c>
    </row>
    <row r="6" spans="1:8">
      <c r="B6" s="1" t="s">
        <v>163</v>
      </c>
      <c r="C6" s="218">
        <f>'Données conventions bilatérales'!AJ8</f>
        <v>0</v>
      </c>
      <c r="D6" s="142">
        <f t="shared" si="0"/>
        <v>0</v>
      </c>
      <c r="E6" s="49">
        <f t="shared" si="1"/>
        <v>16</v>
      </c>
      <c r="H6" t="str">
        <f>"Dépenses = "&amp;TEXT(C32/1000000,"# ###,##")&amp;" Millions d'€"</f>
        <v>Dépenses = 56,17 Millions d'€</v>
      </c>
    </row>
    <row r="7" spans="1:8">
      <c r="B7" s="1" t="s">
        <v>164</v>
      </c>
      <c r="C7" s="218">
        <f>'Données conventions bilatérales'!AJ9</f>
        <v>40.380000000000003</v>
      </c>
      <c r="D7" s="142">
        <f t="shared" si="0"/>
        <v>7.1889195976041828E-7</v>
      </c>
      <c r="E7" s="49">
        <f t="shared" si="1"/>
        <v>15</v>
      </c>
    </row>
    <row r="8" spans="1:8">
      <c r="B8" s="1" t="s">
        <v>165</v>
      </c>
      <c r="C8" s="218">
        <f>'Données conventions bilatérales'!AJ10</f>
        <v>0</v>
      </c>
      <c r="D8" s="142">
        <f t="shared" si="0"/>
        <v>0</v>
      </c>
      <c r="E8" s="49">
        <f t="shared" si="1"/>
        <v>16</v>
      </c>
    </row>
    <row r="9" spans="1:8">
      <c r="B9" s="1" t="s">
        <v>166</v>
      </c>
      <c r="C9" s="218">
        <f>'Données conventions bilatérales'!AJ11</f>
        <v>0</v>
      </c>
      <c r="D9" s="142">
        <f t="shared" si="0"/>
        <v>0</v>
      </c>
      <c r="E9" s="49">
        <f t="shared" si="1"/>
        <v>16</v>
      </c>
    </row>
    <row r="10" spans="1:8">
      <c r="B10" s="1" t="s">
        <v>167</v>
      </c>
      <c r="C10" s="218">
        <f>'Données conventions bilatérales'!AJ12</f>
        <v>0</v>
      </c>
      <c r="D10" s="142">
        <f t="shared" si="0"/>
        <v>0</v>
      </c>
      <c r="E10" s="49">
        <f t="shared" si="1"/>
        <v>16</v>
      </c>
    </row>
    <row r="11" spans="1:8">
      <c r="B11" s="1" t="s">
        <v>168</v>
      </c>
      <c r="C11" s="218">
        <f>'Données conventions bilatérales'!AJ13</f>
        <v>0</v>
      </c>
      <c r="D11" s="142">
        <f t="shared" si="0"/>
        <v>0</v>
      </c>
      <c r="E11" s="49">
        <f t="shared" si="1"/>
        <v>16</v>
      </c>
    </row>
    <row r="12" spans="1:8">
      <c r="B12" s="1" t="s">
        <v>113</v>
      </c>
      <c r="C12" s="218">
        <f>'Données conventions bilatérales'!AJ14</f>
        <v>0</v>
      </c>
      <c r="D12" s="142">
        <f t="shared" si="0"/>
        <v>0</v>
      </c>
      <c r="E12" s="49">
        <f t="shared" si="1"/>
        <v>16</v>
      </c>
    </row>
    <row r="13" spans="1:8">
      <c r="B13" s="1" t="s">
        <v>169</v>
      </c>
      <c r="C13" s="218">
        <f>'Données conventions bilatérales'!AJ15</f>
        <v>1750.88</v>
      </c>
      <c r="D13" s="142">
        <f t="shared" si="0"/>
        <v>3.1171212345352182E-5</v>
      </c>
      <c r="E13" s="49">
        <f t="shared" si="1"/>
        <v>12</v>
      </c>
    </row>
    <row r="14" spans="1:8">
      <c r="B14" s="1" t="s">
        <v>170</v>
      </c>
      <c r="C14" s="218">
        <f>'Données conventions bilatérales'!AJ16</f>
        <v>0</v>
      </c>
      <c r="D14" s="142">
        <f t="shared" si="0"/>
        <v>0</v>
      </c>
      <c r="E14" s="49">
        <f t="shared" si="1"/>
        <v>16</v>
      </c>
    </row>
    <row r="15" spans="1:8">
      <c r="B15" s="1" t="s">
        <v>44</v>
      </c>
      <c r="C15" s="218">
        <f>'Données conventions bilatérales'!AJ17</f>
        <v>9024.9699999999993</v>
      </c>
      <c r="D15" s="142">
        <f t="shared" si="0"/>
        <v>1.6067306513320906E-4</v>
      </c>
      <c r="E15" s="49">
        <f t="shared" si="1"/>
        <v>10</v>
      </c>
    </row>
    <row r="16" spans="1:8">
      <c r="B16" s="1" t="s">
        <v>171</v>
      </c>
      <c r="C16" s="218">
        <f>'Données conventions bilatérales'!AJ18</f>
        <v>0</v>
      </c>
      <c r="D16" s="142">
        <f t="shared" si="0"/>
        <v>0</v>
      </c>
      <c r="E16" s="49">
        <f t="shared" si="1"/>
        <v>16</v>
      </c>
    </row>
    <row r="17" spans="2:10">
      <c r="B17" s="1" t="s">
        <v>46</v>
      </c>
      <c r="C17" s="218">
        <f>'Données conventions bilatérales'!AJ19</f>
        <v>5603.3099999999995</v>
      </c>
      <c r="D17" s="142">
        <f t="shared" si="0"/>
        <v>9.9756674270558412E-5</v>
      </c>
      <c r="E17" s="49">
        <f t="shared" si="1"/>
        <v>11</v>
      </c>
    </row>
    <row r="18" spans="2:10">
      <c r="B18" s="1" t="s">
        <v>47</v>
      </c>
      <c r="C18" s="218">
        <f>'Données conventions bilatérales'!AJ20</f>
        <v>121945.19</v>
      </c>
      <c r="D18" s="142">
        <f t="shared" si="0"/>
        <v>2.1710108128394391E-3</v>
      </c>
      <c r="E18" s="49">
        <f t="shared" si="1"/>
        <v>8</v>
      </c>
    </row>
    <row r="19" spans="2:10">
      <c r="B19" s="1" t="s">
        <v>172</v>
      </c>
      <c r="C19" s="218">
        <f>'Données conventions bilatérales'!AJ21</f>
        <v>0</v>
      </c>
      <c r="D19" s="142">
        <f t="shared" si="0"/>
        <v>0</v>
      </c>
      <c r="E19" s="49">
        <f t="shared" si="1"/>
        <v>16</v>
      </c>
      <c r="G19" s="29" t="s">
        <v>133</v>
      </c>
    </row>
    <row r="20" spans="2:10">
      <c r="B20" s="1" t="s">
        <v>112</v>
      </c>
      <c r="C20" s="218">
        <f>'Données conventions bilatérales'!AJ22</f>
        <v>1322.72</v>
      </c>
      <c r="D20" s="142">
        <f t="shared" si="0"/>
        <v>2.3548607553598328E-5</v>
      </c>
      <c r="E20" s="49">
        <f t="shared" si="1"/>
        <v>14</v>
      </c>
    </row>
    <row r="21" spans="2:10">
      <c r="B21" s="1" t="s">
        <v>173</v>
      </c>
      <c r="C21" s="218">
        <f>'Données conventions bilatérales'!AJ23</f>
        <v>0</v>
      </c>
      <c r="D21" s="142">
        <f t="shared" si="0"/>
        <v>0</v>
      </c>
      <c r="E21" s="49">
        <f t="shared" si="1"/>
        <v>16</v>
      </c>
    </row>
    <row r="22" spans="2:10">
      <c r="B22" s="1" t="s">
        <v>51</v>
      </c>
      <c r="C22" s="218">
        <f>'Données conventions bilatérales'!AJ24</f>
        <v>2575937.6799999997</v>
      </c>
      <c r="D22" s="142">
        <f t="shared" si="0"/>
        <v>4.5859853566020431E-2</v>
      </c>
      <c r="E22" s="49">
        <f t="shared" si="1"/>
        <v>2</v>
      </c>
    </row>
    <row r="23" spans="2:10">
      <c r="B23" s="1" t="s">
        <v>50</v>
      </c>
      <c r="C23" s="218">
        <f>'Données conventions bilatérales'!AJ25</f>
        <v>956480.12</v>
      </c>
      <c r="D23" s="142">
        <f t="shared" si="0"/>
        <v>1.7028377115866272E-2</v>
      </c>
      <c r="E23" s="49">
        <f t="shared" si="1"/>
        <v>3</v>
      </c>
    </row>
    <row r="24" spans="2:10">
      <c r="B24" s="1" t="s">
        <v>183</v>
      </c>
      <c r="C24" s="218">
        <f>'Données conventions bilatérales'!AJ26</f>
        <v>249740.90000000002</v>
      </c>
      <c r="D24" s="142">
        <f t="shared" si="0"/>
        <v>4.4461794213306255E-3</v>
      </c>
      <c r="E24" s="49">
        <f t="shared" si="1"/>
        <v>6</v>
      </c>
    </row>
    <row r="25" spans="2:10">
      <c r="B25" s="1" t="s">
        <v>114</v>
      </c>
      <c r="C25" s="218">
        <f>'Données conventions bilatérales'!AJ27</f>
        <v>1701.1100000000001</v>
      </c>
      <c r="D25" s="142">
        <f t="shared" si="0"/>
        <v>3.0285148629718802E-5</v>
      </c>
      <c r="E25" s="49">
        <f t="shared" si="1"/>
        <v>13</v>
      </c>
      <c r="J25" s="22"/>
    </row>
    <row r="26" spans="2:10">
      <c r="B26" s="1" t="s">
        <v>174</v>
      </c>
      <c r="C26" s="218">
        <f>'Données conventions bilatérales'!AJ28</f>
        <v>0</v>
      </c>
      <c r="D26" s="142">
        <f t="shared" si="0"/>
        <v>0</v>
      </c>
      <c r="E26" s="49">
        <f t="shared" si="1"/>
        <v>16</v>
      </c>
    </row>
    <row r="27" spans="2:10">
      <c r="B27" s="1" t="s">
        <v>175</v>
      </c>
      <c r="C27" s="218">
        <f>'Données conventions bilatérales'!AJ29</f>
        <v>85973.975999999995</v>
      </c>
      <c r="D27" s="142">
        <f t="shared" si="0"/>
        <v>1.530609214834947E-3</v>
      </c>
      <c r="E27" s="49">
        <f t="shared" si="1"/>
        <v>9</v>
      </c>
    </row>
    <row r="28" spans="2:10">
      <c r="B28" s="1" t="s">
        <v>176</v>
      </c>
      <c r="C28" s="218">
        <f>'Données conventions bilatérales'!AJ30</f>
        <v>0</v>
      </c>
      <c r="D28" s="142">
        <f t="shared" si="0"/>
        <v>0</v>
      </c>
      <c r="E28" s="49">
        <f t="shared" si="1"/>
        <v>16</v>
      </c>
    </row>
    <row r="29" spans="2:10">
      <c r="B29" s="1" t="s">
        <v>48</v>
      </c>
      <c r="C29" s="218">
        <f>'Données conventions bilatérales'!AJ31</f>
        <v>245740.78</v>
      </c>
      <c r="D29" s="142">
        <f t="shared" si="0"/>
        <v>4.3749646093921195E-3</v>
      </c>
      <c r="E29" s="49">
        <f t="shared" si="1"/>
        <v>7</v>
      </c>
    </row>
    <row r="30" spans="2:10">
      <c r="B30" s="1" t="s">
        <v>45</v>
      </c>
      <c r="C30" s="218">
        <f>'Données conventions bilatérales'!AJ32</f>
        <v>695873.98</v>
      </c>
      <c r="D30" s="142">
        <f t="shared" si="0"/>
        <v>1.2388761991790046E-2</v>
      </c>
      <c r="E30" s="49">
        <f>RANK(C30,$C$4:$C$30)</f>
        <v>5</v>
      </c>
    </row>
    <row r="31" spans="2:10">
      <c r="B31" s="245" t="s">
        <v>192</v>
      </c>
      <c r="C31" s="218">
        <f>'Données conventions bilatérales'!AJ33</f>
        <v>378000</v>
      </c>
      <c r="D31" s="142">
        <f>C31/$C$32</f>
        <v>6.7295978402535442E-3</v>
      </c>
      <c r="E31" s="49">
        <f>RANK(C31,$C$4:$C$31)</f>
        <v>6</v>
      </c>
    </row>
    <row r="32" spans="2:10">
      <c r="B32" s="135" t="s">
        <v>36</v>
      </c>
      <c r="C32" s="222">
        <f>SUM(C4:C31)</f>
        <v>56169775.516000003</v>
      </c>
      <c r="D32" s="134">
        <f>SUM(D4:D31)</f>
        <v>0.99999999999999978</v>
      </c>
      <c r="E32" s="3"/>
    </row>
    <row r="33" spans="2:5">
      <c r="B33" s="42"/>
      <c r="C33" s="43"/>
      <c r="D33" s="44"/>
      <c r="E33" s="40"/>
    </row>
    <row r="34" spans="2:5">
      <c r="B34" s="45"/>
      <c r="C34" s="45"/>
      <c r="D34" s="45"/>
      <c r="E34" s="45"/>
    </row>
    <row r="35" spans="2:5">
      <c r="B35" s="42"/>
      <c r="C35" s="43"/>
      <c r="D35" s="44"/>
      <c r="E35" s="40"/>
    </row>
    <row r="36" spans="2:5" ht="16.5" customHeight="1">
      <c r="B36" s="146" t="str">
        <f>INDEX(HorsEurope_D,MATCH(1,Rang_HorsEurope_D,0),1)</f>
        <v>Algérie</v>
      </c>
      <c r="C36" s="201">
        <f>INDEX(HorsEurope_D,MATCH(1,Rang_HorsEurope_D,0),2)</f>
        <v>50008521.240000002</v>
      </c>
      <c r="D36" s="260"/>
      <c r="E36" s="37"/>
    </row>
    <row r="37" spans="2:5" ht="15.75" customHeight="1">
      <c r="B37" s="146" t="str">
        <f>INDEX(HorsEurope_D,MATCH(2,Rang_HorsEurope_D,0),1)</f>
        <v>Nouvelle-Calédonie</v>
      </c>
      <c r="C37" s="201">
        <f>INDEX(HorsEurope_D,MATCH(2,Rang_HorsEurope_D,0),2)</f>
        <v>2575937.6799999997</v>
      </c>
      <c r="D37" s="260"/>
      <c r="E37" s="37"/>
    </row>
    <row r="38" spans="2:5" ht="15.75" customHeight="1">
      <c r="B38" s="146" t="str">
        <f>INDEX(HorsEurope_D,MATCH(3,Rang_HorsEurope_D,0),1)</f>
        <v>Polynésie Française</v>
      </c>
      <c r="C38" s="201">
        <f>INDEX(HorsEurope_D,MATCH(3,Rang_HorsEurope_D,0),2)</f>
        <v>956480.12</v>
      </c>
      <c r="D38" s="260"/>
      <c r="E38" s="37"/>
    </row>
    <row r="39" spans="2:5" ht="15.75" customHeight="1">
      <c r="B39" s="146" t="str">
        <f>INDEX(HorsEurope_D,MATCH(4,Rang_HorsEurope_D,0),1)</f>
        <v>Andorre</v>
      </c>
      <c r="C39" s="201">
        <f>INDEX(HorsEurope_D,MATCH(4,Rang_HorsEurope_D,0),2)</f>
        <v>832118.28</v>
      </c>
      <c r="D39" s="260"/>
      <c r="E39" s="37"/>
    </row>
    <row r="40" spans="2:5" ht="15.75" customHeight="1">
      <c r="B40" s="146" t="str">
        <f>INDEX(HorsEurope_D,MATCH(5,Rang_HorsEurope_D,0),1)</f>
        <v>Turquie</v>
      </c>
      <c r="C40" s="201">
        <f>INDEX(HorsEurope_D,MATCH(5,Rang_HorsEurope_D,0),2)</f>
        <v>695873.98</v>
      </c>
      <c r="D40" s="260"/>
      <c r="E40" s="37"/>
    </row>
    <row r="41" spans="2:5" ht="15.75" customHeight="1">
      <c r="B41" s="146" t="s">
        <v>84</v>
      </c>
      <c r="C41" s="201">
        <f>C32-C36-C37-C38-C39-C40</f>
        <v>1100844.2160000007</v>
      </c>
      <c r="D41" s="260"/>
    </row>
    <row r="42" spans="2:5">
      <c r="B42" s="117"/>
      <c r="C42" s="138"/>
    </row>
    <row r="43" spans="2:5">
      <c r="B43" s="40" t="s">
        <v>184</v>
      </c>
    </row>
    <row r="53" spans="1:18">
      <c r="C53" s="412" t="s">
        <v>86</v>
      </c>
      <c r="D53" s="413"/>
      <c r="E53" s="414"/>
      <c r="F53" s="412" t="s">
        <v>80</v>
      </c>
      <c r="G53" s="413"/>
      <c r="H53" s="414"/>
      <c r="I53" s="412" t="s">
        <v>81</v>
      </c>
      <c r="J53" s="413"/>
      <c r="K53" s="414"/>
      <c r="L53" s="412" t="s">
        <v>82</v>
      </c>
      <c r="M53" s="413"/>
      <c r="N53" s="414"/>
      <c r="O53" s="19"/>
      <c r="P53" s="410" t="str">
        <f>C53</f>
        <v>Soins urgents</v>
      </c>
      <c r="Q53" s="410" t="str">
        <f>F53</f>
        <v>Soins programmés</v>
      </c>
      <c r="R53" s="410" t="str">
        <f>I53</f>
        <v>Soins liés à la résidence</v>
      </c>
    </row>
    <row r="54" spans="1:18">
      <c r="C54" s="203" t="s">
        <v>92</v>
      </c>
      <c r="D54" s="195" t="s">
        <v>155</v>
      </c>
      <c r="E54" s="204" t="s">
        <v>156</v>
      </c>
      <c r="F54" s="203" t="s">
        <v>92</v>
      </c>
      <c r="G54" s="195" t="s">
        <v>155</v>
      </c>
      <c r="H54" s="204" t="s">
        <v>156</v>
      </c>
      <c r="I54" s="203" t="s">
        <v>92</v>
      </c>
      <c r="J54" s="195" t="s">
        <v>155</v>
      </c>
      <c r="K54" s="204" t="s">
        <v>156</v>
      </c>
      <c r="L54" s="203" t="s">
        <v>92</v>
      </c>
      <c r="M54" s="195" t="s">
        <v>155</v>
      </c>
      <c r="N54" s="204" t="s">
        <v>156</v>
      </c>
      <c r="O54" s="19"/>
      <c r="P54" s="411"/>
      <c r="Q54" s="411"/>
      <c r="R54" s="411"/>
    </row>
    <row r="55" spans="1:18">
      <c r="A55" s="19"/>
      <c r="B55" s="1" t="s">
        <v>49</v>
      </c>
      <c r="C55" s="65">
        <f>'Données conventions bilatérales'!D6</f>
        <v>151591.78</v>
      </c>
      <c r="D55" s="180">
        <f>'Données conventions bilatérales'!$AH6*E55</f>
        <v>9656.1476663134035</v>
      </c>
      <c r="E55" s="50">
        <f>IFERROR(C55/L55,0)</f>
        <v>3.0313189880677221E-3</v>
      </c>
      <c r="F55" s="65">
        <f>'Données conventions bilatérales'!K6</f>
        <v>858576.66</v>
      </c>
      <c r="G55" s="180">
        <f>'Données conventions bilatérales'!$AH6*H55</f>
        <v>54689.924557981685</v>
      </c>
      <c r="H55" s="50">
        <f>IFERROR(F55/L55,0)</f>
        <v>1.7168607243544239E-2</v>
      </c>
      <c r="I55" s="65">
        <f>'Données conventions bilatérales'!R6+'Données conventions bilatérales'!Y6+'Données conventions bilatérales'!AA6+'Données conventions bilatérales'!AC6+'Données conventions bilatérales'!AE6+'Données conventions bilatérales'!AG6</f>
        <v>48998352.800000004</v>
      </c>
      <c r="J55" s="180">
        <f>'Données conventions bilatérales'!$AH6*K55</f>
        <v>3121114.6807757053</v>
      </c>
      <c r="K55" s="50">
        <f>IFERROR(I55/L55,0)</f>
        <v>0.97980007376838807</v>
      </c>
      <c r="L55" s="65">
        <f>C55+F55+I55</f>
        <v>50008521.240000002</v>
      </c>
      <c r="M55" s="65">
        <f>D55+G55+J55</f>
        <v>3185460.7530000005</v>
      </c>
      <c r="N55" s="50">
        <f>E55+H55+K55</f>
        <v>1</v>
      </c>
      <c r="O55" s="19"/>
      <c r="P55" s="51">
        <f t="shared" ref="P55:P81" si="2">C55/C$83</f>
        <v>0.12309109643485065</v>
      </c>
      <c r="Q55" s="51">
        <f t="shared" ref="Q55:Q81" si="3">F55/$F$83</f>
        <v>0.44169809641208391</v>
      </c>
      <c r="R55" s="51">
        <f t="shared" ref="R55:R81" si="4">I55/$I$83</f>
        <v>0.92459447434933084</v>
      </c>
    </row>
    <row r="56" spans="1:18">
      <c r="A56" s="19"/>
      <c r="B56" s="1" t="s">
        <v>43</v>
      </c>
      <c r="C56" s="65">
        <f>'Données conventions bilatérales'!D7</f>
        <v>197281.1</v>
      </c>
      <c r="D56" s="180">
        <f>'Données conventions bilatérales'!$AH7*E56</f>
        <v>0</v>
      </c>
      <c r="E56" s="50">
        <f t="shared" ref="E56:E81" si="5">IFERROR(C56/L56,0)</f>
        <v>0.2370830021905059</v>
      </c>
      <c r="F56" s="65">
        <f>'Données conventions bilatérales'!K7</f>
        <v>440021.75999999995</v>
      </c>
      <c r="G56" s="180">
        <f>'Données conventions bilatérales'!$AH7*H56</f>
        <v>0</v>
      </c>
      <c r="H56" s="50">
        <f t="shared" ref="H56:H81" si="6">IFERROR(F56/L56,0)</f>
        <v>0.52879713206156209</v>
      </c>
      <c r="I56" s="65">
        <f>'Données conventions bilatérales'!R7+'Données conventions bilatérales'!Y7+'Données conventions bilatérales'!AA7+'Données conventions bilatérales'!AC7+'Données conventions bilatérales'!AE7+'Données conventions bilatérales'!AG7</f>
        <v>194815.41999999998</v>
      </c>
      <c r="J56" s="180">
        <f>'Données conventions bilatérales'!$AH7*K56</f>
        <v>0</v>
      </c>
      <c r="K56" s="50">
        <f t="shared" ref="K56:K82" si="7">IFERROR(I56/L56,0)</f>
        <v>0.23411986574793187</v>
      </c>
      <c r="L56" s="65">
        <f t="shared" ref="L56:L81" si="8">C56+F56+I56</f>
        <v>832118.28</v>
      </c>
      <c r="M56" s="65">
        <f t="shared" ref="M56:M81" si="9">D56+G56+J56</f>
        <v>0</v>
      </c>
      <c r="N56" s="50">
        <f t="shared" ref="N56:N81" si="10">E56+H56+K56</f>
        <v>0.99999999999999989</v>
      </c>
      <c r="O56" s="19"/>
      <c r="P56" s="51">
        <f t="shared" si="2"/>
        <v>0.16019039360098164</v>
      </c>
      <c r="Q56" s="51">
        <f t="shared" si="3"/>
        <v>0.22637090294522427</v>
      </c>
      <c r="R56" s="51">
        <f t="shared" si="4"/>
        <v>3.6761493102691421E-3</v>
      </c>
    </row>
    <row r="57" spans="1:18">
      <c r="A57" s="19"/>
      <c r="B57" s="1" t="s">
        <v>163</v>
      </c>
      <c r="C57" s="65">
        <f>'Données conventions bilatérales'!D8</f>
        <v>0</v>
      </c>
      <c r="D57" s="180">
        <f>'Données conventions bilatérales'!$AH8*E57</f>
        <v>0</v>
      </c>
      <c r="E57" s="50">
        <f t="shared" si="5"/>
        <v>0</v>
      </c>
      <c r="F57" s="65">
        <f>'Données conventions bilatérales'!K8</f>
        <v>0</v>
      </c>
      <c r="G57" s="180">
        <f>'Données conventions bilatérales'!$AH8*H57</f>
        <v>0</v>
      </c>
      <c r="H57" s="50">
        <f t="shared" si="6"/>
        <v>0</v>
      </c>
      <c r="I57" s="65">
        <f>'Données conventions bilatérales'!R8+'Données conventions bilatérales'!Y8+'Données conventions bilatérales'!AA8+'Données conventions bilatérales'!AC8+'Données conventions bilatérales'!AE8+'Données conventions bilatérales'!AG8</f>
        <v>0</v>
      </c>
      <c r="J57" s="180">
        <f>'Données conventions bilatérales'!$AH8*K57</f>
        <v>0</v>
      </c>
      <c r="K57" s="50">
        <f t="shared" si="7"/>
        <v>0</v>
      </c>
      <c r="L57" s="65">
        <f t="shared" si="8"/>
        <v>0</v>
      </c>
      <c r="M57" s="65">
        <f t="shared" si="9"/>
        <v>0</v>
      </c>
      <c r="N57" s="50">
        <f t="shared" si="10"/>
        <v>0</v>
      </c>
      <c r="O57" s="19"/>
      <c r="P57" s="51">
        <f t="shared" si="2"/>
        <v>0</v>
      </c>
      <c r="Q57" s="51">
        <f t="shared" si="3"/>
        <v>0</v>
      </c>
      <c r="R57" s="51">
        <f t="shared" si="4"/>
        <v>0</v>
      </c>
    </row>
    <row r="58" spans="1:18">
      <c r="A58" s="19"/>
      <c r="B58" s="1" t="s">
        <v>164</v>
      </c>
      <c r="C58" s="65">
        <f>'Données conventions bilatérales'!D9</f>
        <v>0</v>
      </c>
      <c r="D58" s="180">
        <f>'Données conventions bilatérales'!$AH9*E58</f>
        <v>0</v>
      </c>
      <c r="E58" s="50">
        <f t="shared" si="5"/>
        <v>0</v>
      </c>
      <c r="F58" s="65">
        <f>'Données conventions bilatérales'!K9</f>
        <v>0</v>
      </c>
      <c r="G58" s="180">
        <f>'Données conventions bilatérales'!$AH9*H58</f>
        <v>0</v>
      </c>
      <c r="H58" s="50">
        <f t="shared" si="6"/>
        <v>0</v>
      </c>
      <c r="I58" s="65">
        <f>'Données conventions bilatérales'!R9+'Données conventions bilatérales'!Y9+'Données conventions bilatérales'!AA9+'Données conventions bilatérales'!AC9+'Données conventions bilatérales'!AE9+'Données conventions bilatérales'!AG9</f>
        <v>40.380000000000003</v>
      </c>
      <c r="J58" s="180">
        <f>'Données conventions bilatérales'!$AH9*K58</f>
        <v>0</v>
      </c>
      <c r="K58" s="50">
        <f t="shared" si="7"/>
        <v>1</v>
      </c>
      <c r="L58" s="65">
        <f t="shared" si="8"/>
        <v>40.380000000000003</v>
      </c>
      <c r="M58" s="65">
        <f t="shared" si="9"/>
        <v>0</v>
      </c>
      <c r="N58" s="50">
        <f t="shared" si="10"/>
        <v>1</v>
      </c>
      <c r="O58" s="19"/>
      <c r="P58" s="51">
        <f t="shared" si="2"/>
        <v>0</v>
      </c>
      <c r="Q58" s="51">
        <f t="shared" si="3"/>
        <v>0</v>
      </c>
      <c r="R58" s="51">
        <f t="shared" si="4"/>
        <v>7.6196693849320536E-7</v>
      </c>
    </row>
    <row r="59" spans="1:18">
      <c r="A59" s="19"/>
      <c r="B59" s="1" t="s">
        <v>165</v>
      </c>
      <c r="C59" s="65">
        <f>'Données conventions bilatérales'!D10</f>
        <v>0</v>
      </c>
      <c r="D59" s="180">
        <f>'Données conventions bilatérales'!$AH10*E59</f>
        <v>0</v>
      </c>
      <c r="E59" s="50">
        <f t="shared" si="5"/>
        <v>0</v>
      </c>
      <c r="F59" s="65">
        <f>'Données conventions bilatérales'!K10</f>
        <v>0</v>
      </c>
      <c r="G59" s="180">
        <f>'Données conventions bilatérales'!$AH10*H59</f>
        <v>0</v>
      </c>
      <c r="H59" s="50">
        <f t="shared" si="6"/>
        <v>0</v>
      </c>
      <c r="I59" s="65">
        <f>'Données conventions bilatérales'!R10+'Données conventions bilatérales'!Y10+'Données conventions bilatérales'!AA10+'Données conventions bilatérales'!AC10+'Données conventions bilatérales'!AE10+'Données conventions bilatérales'!AG10</f>
        <v>0</v>
      </c>
      <c r="J59" s="180">
        <f>'Données conventions bilatérales'!$AH10*K59</f>
        <v>0</v>
      </c>
      <c r="K59" s="50">
        <f t="shared" si="7"/>
        <v>0</v>
      </c>
      <c r="L59" s="65">
        <f t="shared" si="8"/>
        <v>0</v>
      </c>
      <c r="M59" s="65">
        <f t="shared" si="9"/>
        <v>0</v>
      </c>
      <c r="N59" s="50">
        <f t="shared" si="10"/>
        <v>0</v>
      </c>
      <c r="O59" s="19"/>
      <c r="P59" s="51">
        <f t="shared" si="2"/>
        <v>0</v>
      </c>
      <c r="Q59" s="51">
        <f t="shared" si="3"/>
        <v>0</v>
      </c>
      <c r="R59" s="51">
        <f t="shared" si="4"/>
        <v>0</v>
      </c>
    </row>
    <row r="60" spans="1:18">
      <c r="A60" s="19"/>
      <c r="B60" s="1" t="s">
        <v>166</v>
      </c>
      <c r="C60" s="65">
        <f>'Données conventions bilatérales'!D11</f>
        <v>0</v>
      </c>
      <c r="D60" s="180">
        <f>'Données conventions bilatérales'!$AH11*E60</f>
        <v>0</v>
      </c>
      <c r="E60" s="50">
        <f t="shared" si="5"/>
        <v>0</v>
      </c>
      <c r="F60" s="65">
        <f>'Données conventions bilatérales'!K11</f>
        <v>0</v>
      </c>
      <c r="G60" s="180">
        <f>'Données conventions bilatérales'!$AH11*H60</f>
        <v>0</v>
      </c>
      <c r="H60" s="50">
        <f t="shared" si="6"/>
        <v>0</v>
      </c>
      <c r="I60" s="65">
        <f>'Données conventions bilatérales'!R11+'Données conventions bilatérales'!Y11+'Données conventions bilatérales'!AA11+'Données conventions bilatérales'!AC11+'Données conventions bilatérales'!AE11+'Données conventions bilatérales'!AG11</f>
        <v>0</v>
      </c>
      <c r="J60" s="180">
        <f>'Données conventions bilatérales'!$AH11*K60</f>
        <v>0</v>
      </c>
      <c r="K60" s="50">
        <f t="shared" si="7"/>
        <v>0</v>
      </c>
      <c r="L60" s="65">
        <f t="shared" si="8"/>
        <v>0</v>
      </c>
      <c r="M60" s="65">
        <f t="shared" si="9"/>
        <v>0</v>
      </c>
      <c r="N60" s="50">
        <f t="shared" si="10"/>
        <v>0</v>
      </c>
      <c r="O60" s="19"/>
      <c r="P60" s="51">
        <f t="shared" si="2"/>
        <v>0</v>
      </c>
      <c r="Q60" s="51">
        <f t="shared" si="3"/>
        <v>0</v>
      </c>
      <c r="R60" s="51">
        <f t="shared" si="4"/>
        <v>0</v>
      </c>
    </row>
    <row r="61" spans="1:18">
      <c r="A61" s="19"/>
      <c r="B61" s="1" t="s">
        <v>167</v>
      </c>
      <c r="C61" s="65">
        <f>'Données conventions bilatérales'!D12</f>
        <v>0</v>
      </c>
      <c r="D61" s="180">
        <f>'Données conventions bilatérales'!$AH12*E61</f>
        <v>0</v>
      </c>
      <c r="E61" s="50">
        <f t="shared" si="5"/>
        <v>0</v>
      </c>
      <c r="F61" s="65">
        <f>'Données conventions bilatérales'!K12</f>
        <v>0</v>
      </c>
      <c r="G61" s="180">
        <f>'Données conventions bilatérales'!$AH12*H61</f>
        <v>0</v>
      </c>
      <c r="H61" s="50">
        <f t="shared" si="6"/>
        <v>0</v>
      </c>
      <c r="I61" s="65">
        <f>'Données conventions bilatérales'!R12+'Données conventions bilatérales'!Y12+'Données conventions bilatérales'!AA12+'Données conventions bilatérales'!AC12+'Données conventions bilatérales'!AE12+'Données conventions bilatérales'!AG12</f>
        <v>0</v>
      </c>
      <c r="J61" s="180">
        <f>'Données conventions bilatérales'!$AH12*K61</f>
        <v>0</v>
      </c>
      <c r="K61" s="50">
        <f t="shared" si="7"/>
        <v>0</v>
      </c>
      <c r="L61" s="65">
        <f t="shared" si="8"/>
        <v>0</v>
      </c>
      <c r="M61" s="65">
        <f t="shared" si="9"/>
        <v>0</v>
      </c>
      <c r="N61" s="50">
        <f t="shared" si="10"/>
        <v>0</v>
      </c>
      <c r="O61" s="19"/>
      <c r="P61" s="51">
        <f t="shared" si="2"/>
        <v>0</v>
      </c>
      <c r="Q61" s="51">
        <f t="shared" si="3"/>
        <v>0</v>
      </c>
      <c r="R61" s="51">
        <f t="shared" si="4"/>
        <v>0</v>
      </c>
    </row>
    <row r="62" spans="1:18">
      <c r="A62" s="19"/>
      <c r="B62" s="1" t="s">
        <v>168</v>
      </c>
      <c r="C62" s="65">
        <f>'Données conventions bilatérales'!D13</f>
        <v>0</v>
      </c>
      <c r="D62" s="180">
        <f>'Données conventions bilatérales'!$AH13*E62</f>
        <v>0</v>
      </c>
      <c r="E62" s="50">
        <f t="shared" si="5"/>
        <v>0</v>
      </c>
      <c r="F62" s="65">
        <f>'Données conventions bilatérales'!K13</f>
        <v>0</v>
      </c>
      <c r="G62" s="180">
        <f>'Données conventions bilatérales'!$AH13*H62</f>
        <v>0</v>
      </c>
      <c r="H62" s="50">
        <f t="shared" si="6"/>
        <v>0</v>
      </c>
      <c r="I62" s="65">
        <f>'Données conventions bilatérales'!R13+'Données conventions bilatérales'!Y13+'Données conventions bilatérales'!AA13+'Données conventions bilatérales'!AC13+'Données conventions bilatérales'!AE13+'Données conventions bilatérales'!AG13</f>
        <v>0</v>
      </c>
      <c r="J62" s="180">
        <f>'Données conventions bilatérales'!$AH13*K62</f>
        <v>0</v>
      </c>
      <c r="K62" s="50">
        <f t="shared" si="7"/>
        <v>0</v>
      </c>
      <c r="L62" s="65">
        <f t="shared" si="8"/>
        <v>0</v>
      </c>
      <c r="M62" s="65">
        <f t="shared" si="9"/>
        <v>0</v>
      </c>
      <c r="N62" s="50">
        <f t="shared" si="10"/>
        <v>0</v>
      </c>
      <c r="O62" s="19"/>
      <c r="P62" s="51">
        <f t="shared" si="2"/>
        <v>0</v>
      </c>
      <c r="Q62" s="51">
        <f t="shared" si="3"/>
        <v>0</v>
      </c>
      <c r="R62" s="51">
        <f t="shared" si="4"/>
        <v>0</v>
      </c>
    </row>
    <row r="63" spans="1:18">
      <c r="A63" s="19"/>
      <c r="B63" s="1" t="s">
        <v>113</v>
      </c>
      <c r="C63" s="65">
        <f>'Données conventions bilatérales'!D14</f>
        <v>0</v>
      </c>
      <c r="D63" s="180">
        <f>'Données conventions bilatérales'!$AH14*E63</f>
        <v>0</v>
      </c>
      <c r="E63" s="50">
        <f t="shared" si="5"/>
        <v>0</v>
      </c>
      <c r="F63" s="65">
        <f>'Données conventions bilatérales'!K14</f>
        <v>0</v>
      </c>
      <c r="G63" s="180">
        <f>'Données conventions bilatérales'!$AH14*H63</f>
        <v>0</v>
      </c>
      <c r="H63" s="50">
        <f t="shared" si="6"/>
        <v>0</v>
      </c>
      <c r="I63" s="65">
        <f>'Données conventions bilatérales'!R14+'Données conventions bilatérales'!Y14+'Données conventions bilatérales'!AA14+'Données conventions bilatérales'!AC14+'Données conventions bilatérales'!AE14+'Données conventions bilatérales'!AG14</f>
        <v>0</v>
      </c>
      <c r="J63" s="180">
        <f>'Données conventions bilatérales'!$AH14*K63</f>
        <v>0</v>
      </c>
      <c r="K63" s="50">
        <f t="shared" si="7"/>
        <v>0</v>
      </c>
      <c r="L63" s="65">
        <f t="shared" si="8"/>
        <v>0</v>
      </c>
      <c r="M63" s="65">
        <f t="shared" si="9"/>
        <v>0</v>
      </c>
      <c r="N63" s="50">
        <f t="shared" si="10"/>
        <v>0</v>
      </c>
      <c r="O63" s="19"/>
      <c r="P63" s="51">
        <f t="shared" si="2"/>
        <v>0</v>
      </c>
      <c r="Q63" s="51">
        <f t="shared" si="3"/>
        <v>0</v>
      </c>
      <c r="R63" s="51">
        <f t="shared" si="4"/>
        <v>0</v>
      </c>
    </row>
    <row r="64" spans="1:18">
      <c r="A64" s="19"/>
      <c r="B64" s="1" t="s">
        <v>169</v>
      </c>
      <c r="C64" s="65">
        <f>'Données conventions bilatérales'!D15</f>
        <v>0</v>
      </c>
      <c r="D64" s="180">
        <f>'Données conventions bilatérales'!$AH15*E64</f>
        <v>0</v>
      </c>
      <c r="E64" s="50">
        <f t="shared" si="5"/>
        <v>0</v>
      </c>
      <c r="F64" s="65">
        <f>'Données conventions bilatérales'!K15</f>
        <v>1750.88</v>
      </c>
      <c r="G64" s="180">
        <f>'Données conventions bilatérales'!$AH15*H64</f>
        <v>0</v>
      </c>
      <c r="H64" s="50">
        <f t="shared" si="6"/>
        <v>1</v>
      </c>
      <c r="I64" s="65">
        <f>'Données conventions bilatérales'!R15+'Données conventions bilatérales'!Y15+'Données conventions bilatérales'!AA15+'Données conventions bilatérales'!AC15+'Données conventions bilatérales'!AE15+'Données conventions bilatérales'!AG15</f>
        <v>0</v>
      </c>
      <c r="J64" s="180">
        <f>'Données conventions bilatérales'!$AH15*K64</f>
        <v>0</v>
      </c>
      <c r="K64" s="50">
        <f t="shared" si="7"/>
        <v>0</v>
      </c>
      <c r="L64" s="65">
        <f t="shared" si="8"/>
        <v>1750.88</v>
      </c>
      <c r="M64" s="65">
        <f t="shared" si="9"/>
        <v>0</v>
      </c>
      <c r="N64" s="50">
        <f t="shared" si="10"/>
        <v>1</v>
      </c>
      <c r="O64" s="19"/>
      <c r="P64" s="51">
        <f t="shared" si="2"/>
        <v>0</v>
      </c>
      <c r="Q64" s="51">
        <f t="shared" si="3"/>
        <v>9.0074701430387062E-4</v>
      </c>
      <c r="R64" s="51">
        <f t="shared" si="4"/>
        <v>0</v>
      </c>
    </row>
    <row r="65" spans="1:18">
      <c r="A65" s="19"/>
      <c r="B65" s="1" t="s">
        <v>170</v>
      </c>
      <c r="C65" s="65">
        <f>'Données conventions bilatérales'!D16</f>
        <v>0</v>
      </c>
      <c r="D65" s="180">
        <f>'Données conventions bilatérales'!$AH16*E65</f>
        <v>0</v>
      </c>
      <c r="E65" s="50">
        <f t="shared" si="5"/>
        <v>0</v>
      </c>
      <c r="F65" s="65">
        <f>'Données conventions bilatérales'!K16</f>
        <v>0</v>
      </c>
      <c r="G65" s="180">
        <f>'Données conventions bilatérales'!$AH16*H65</f>
        <v>0</v>
      </c>
      <c r="H65" s="50">
        <f t="shared" si="6"/>
        <v>0</v>
      </c>
      <c r="I65" s="65">
        <f>'Données conventions bilatérales'!R16+'Données conventions bilatérales'!Y16+'Données conventions bilatérales'!AA16+'Données conventions bilatérales'!AC16+'Données conventions bilatérales'!AE16+'Données conventions bilatérales'!AG16</f>
        <v>0</v>
      </c>
      <c r="J65" s="180">
        <f>'Données conventions bilatérales'!$AH16*K65</f>
        <v>0</v>
      </c>
      <c r="K65" s="50">
        <f t="shared" si="7"/>
        <v>0</v>
      </c>
      <c r="L65" s="65">
        <f t="shared" si="8"/>
        <v>0</v>
      </c>
      <c r="M65" s="65">
        <f t="shared" si="9"/>
        <v>0</v>
      </c>
      <c r="N65" s="50">
        <f t="shared" si="10"/>
        <v>0</v>
      </c>
      <c r="O65" s="19"/>
      <c r="P65" s="51">
        <f t="shared" si="2"/>
        <v>0</v>
      </c>
      <c r="Q65" s="51">
        <f t="shared" si="3"/>
        <v>0</v>
      </c>
      <c r="R65" s="51">
        <f t="shared" si="4"/>
        <v>0</v>
      </c>
    </row>
    <row r="66" spans="1:18">
      <c r="A66" s="19"/>
      <c r="B66" s="1" t="s">
        <v>44</v>
      </c>
      <c r="C66" s="65">
        <f>'Données conventions bilatérales'!D17</f>
        <v>7881.95</v>
      </c>
      <c r="D66" s="180">
        <f>'Données conventions bilatérales'!$AH17*E66</f>
        <v>0</v>
      </c>
      <c r="E66" s="50">
        <f t="shared" si="5"/>
        <v>0.87334916348752412</v>
      </c>
      <c r="F66" s="65">
        <f>'Données conventions bilatérales'!K17</f>
        <v>0</v>
      </c>
      <c r="G66" s="180">
        <f>'Données conventions bilatérales'!$AH17*H66</f>
        <v>0</v>
      </c>
      <c r="H66" s="50">
        <f t="shared" si="6"/>
        <v>0</v>
      </c>
      <c r="I66" s="65">
        <f>'Données conventions bilatérales'!R17+'Données conventions bilatérales'!Y17+'Données conventions bilatérales'!AA17+'Données conventions bilatérales'!AC17+'Données conventions bilatérales'!AE17+'Données conventions bilatérales'!AG17</f>
        <v>1143.02</v>
      </c>
      <c r="J66" s="180">
        <f>'Données conventions bilatérales'!$AH17*K66</f>
        <v>0</v>
      </c>
      <c r="K66" s="50">
        <f t="shared" si="7"/>
        <v>0.12665083651247594</v>
      </c>
      <c r="L66" s="65">
        <f t="shared" si="8"/>
        <v>9024.9699999999993</v>
      </c>
      <c r="M66" s="65">
        <f t="shared" si="9"/>
        <v>0</v>
      </c>
      <c r="N66" s="50">
        <f t="shared" si="10"/>
        <v>1</v>
      </c>
      <c r="O66" s="19"/>
      <c r="P66" s="51">
        <f t="shared" si="2"/>
        <v>6.4000691036457981E-3</v>
      </c>
      <c r="Q66" s="51">
        <f t="shared" si="3"/>
        <v>0</v>
      </c>
      <c r="R66" s="51">
        <f t="shared" si="4"/>
        <v>2.1568683755237831E-5</v>
      </c>
    </row>
    <row r="67" spans="1:18">
      <c r="A67" s="19"/>
      <c r="B67" s="1" t="s">
        <v>171</v>
      </c>
      <c r="C67" s="65">
        <f>'Données conventions bilatérales'!D18</f>
        <v>0</v>
      </c>
      <c r="D67" s="180">
        <f>'Données conventions bilatérales'!$AH18*E67</f>
        <v>0</v>
      </c>
      <c r="E67" s="50">
        <f t="shared" si="5"/>
        <v>0</v>
      </c>
      <c r="F67" s="65">
        <f>'Données conventions bilatérales'!K18</f>
        <v>0</v>
      </c>
      <c r="G67" s="180">
        <f>'Données conventions bilatérales'!$AH18*H67</f>
        <v>0</v>
      </c>
      <c r="H67" s="50">
        <f t="shared" si="6"/>
        <v>0</v>
      </c>
      <c r="I67" s="65">
        <f>'Données conventions bilatérales'!R18+'Données conventions bilatérales'!Y18+'Données conventions bilatérales'!AA18+'Données conventions bilatérales'!AC18+'Données conventions bilatérales'!AE18+'Données conventions bilatérales'!AG18</f>
        <v>0</v>
      </c>
      <c r="J67" s="180">
        <f>'Données conventions bilatérales'!$AH18*K67</f>
        <v>0</v>
      </c>
      <c r="K67" s="50">
        <f t="shared" si="7"/>
        <v>0</v>
      </c>
      <c r="L67" s="65">
        <f t="shared" si="8"/>
        <v>0</v>
      </c>
      <c r="M67" s="65">
        <f t="shared" si="9"/>
        <v>0</v>
      </c>
      <c r="N67" s="50">
        <f t="shared" si="10"/>
        <v>0</v>
      </c>
      <c r="O67" s="19"/>
      <c r="P67" s="51">
        <f t="shared" si="2"/>
        <v>0</v>
      </c>
      <c r="Q67" s="51">
        <f t="shared" si="3"/>
        <v>0</v>
      </c>
      <c r="R67" s="51">
        <f t="shared" si="4"/>
        <v>0</v>
      </c>
    </row>
    <row r="68" spans="1:18">
      <c r="A68" s="19"/>
      <c r="B68" s="1" t="s">
        <v>46</v>
      </c>
      <c r="C68" s="65">
        <f>'Données conventions bilatérales'!D19</f>
        <v>0</v>
      </c>
      <c r="D68" s="180">
        <f>'Données conventions bilatérales'!$AH19*E68</f>
        <v>0</v>
      </c>
      <c r="E68" s="50">
        <f t="shared" si="5"/>
        <v>0</v>
      </c>
      <c r="F68" s="65">
        <f>'Données conventions bilatérales'!K19</f>
        <v>4755.79</v>
      </c>
      <c r="G68" s="180">
        <f>'Données conventions bilatérales'!$AH19*H68</f>
        <v>0</v>
      </c>
      <c r="H68" s="50">
        <f t="shared" si="6"/>
        <v>0.84874654445318931</v>
      </c>
      <c r="I68" s="65">
        <f>'Données conventions bilatérales'!R19+'Données conventions bilatérales'!Y19+'Données conventions bilatérales'!AA19+'Données conventions bilatérales'!AC19+'Données conventions bilatérales'!AE19+'Données conventions bilatérales'!AG19</f>
        <v>847.51999999999987</v>
      </c>
      <c r="J68" s="180">
        <f>'Données conventions bilatérales'!$AH19*K68</f>
        <v>0</v>
      </c>
      <c r="K68" s="50">
        <f t="shared" si="7"/>
        <v>0.15125345554681072</v>
      </c>
      <c r="L68" s="65">
        <f t="shared" si="8"/>
        <v>5603.3099999999995</v>
      </c>
      <c r="M68" s="65">
        <f t="shared" si="9"/>
        <v>0</v>
      </c>
      <c r="N68" s="50">
        <f t="shared" si="10"/>
        <v>1</v>
      </c>
      <c r="O68" s="19"/>
      <c r="P68" s="51">
        <f t="shared" si="2"/>
        <v>0</v>
      </c>
      <c r="Q68" s="51">
        <f t="shared" si="3"/>
        <v>2.4466346312461188E-3</v>
      </c>
      <c r="R68" s="51">
        <f t="shared" si="4"/>
        <v>1.5992625550068382E-5</v>
      </c>
    </row>
    <row r="69" spans="1:18">
      <c r="A69" s="19"/>
      <c r="B69" s="1" t="s">
        <v>47</v>
      </c>
      <c r="C69" s="65">
        <f>'Données conventions bilatérales'!D20</f>
        <v>0</v>
      </c>
      <c r="D69" s="180">
        <f>'Données conventions bilatérales'!$AH20*E69</f>
        <v>0</v>
      </c>
      <c r="E69" s="50">
        <f t="shared" si="5"/>
        <v>0</v>
      </c>
      <c r="F69" s="65">
        <f>'Données conventions bilatérales'!K20</f>
        <v>548.28</v>
      </c>
      <c r="G69" s="180">
        <f>'Données conventions bilatérales'!$AH20*H69</f>
        <v>43.71760161101885</v>
      </c>
      <c r="H69" s="50">
        <f t="shared" si="6"/>
        <v>4.4961182970808438E-3</v>
      </c>
      <c r="I69" s="65">
        <f>'Données conventions bilatérales'!R20+'Données conventions bilatérales'!Y20+'Données conventions bilatérales'!AA20+'Données conventions bilatérales'!AC20+'Données conventions bilatérales'!AE20+'Données conventions bilatérales'!AG20</f>
        <v>121396.91</v>
      </c>
      <c r="J69" s="180">
        <f>'Données conventions bilatérales'!$AH20*K69</f>
        <v>9679.692398388981</v>
      </c>
      <c r="K69" s="50">
        <f t="shared" si="7"/>
        <v>0.99550388170291915</v>
      </c>
      <c r="L69" s="65">
        <f t="shared" si="8"/>
        <v>121945.19</v>
      </c>
      <c r="M69" s="65">
        <f t="shared" si="9"/>
        <v>9723.41</v>
      </c>
      <c r="N69" s="50">
        <f t="shared" si="10"/>
        <v>1</v>
      </c>
      <c r="O69" s="19"/>
      <c r="P69" s="51">
        <f t="shared" si="2"/>
        <v>0</v>
      </c>
      <c r="Q69" s="51">
        <f t="shared" si="3"/>
        <v>2.8206477485751518E-4</v>
      </c>
      <c r="R69" s="51">
        <f t="shared" si="4"/>
        <v>2.290748683883982E-3</v>
      </c>
    </row>
    <row r="70" spans="1:18">
      <c r="A70" s="19"/>
      <c r="B70" s="1" t="s">
        <v>172</v>
      </c>
      <c r="C70" s="65">
        <f>'Données conventions bilatérales'!D21</f>
        <v>0</v>
      </c>
      <c r="D70" s="180">
        <f>'Données conventions bilatérales'!$AH21*E70</f>
        <v>0</v>
      </c>
      <c r="E70" s="50">
        <f t="shared" si="5"/>
        <v>0</v>
      </c>
      <c r="F70" s="65">
        <f>'Données conventions bilatérales'!K21</f>
        <v>0</v>
      </c>
      <c r="G70" s="180">
        <f>'Données conventions bilatérales'!$AH21*H70</f>
        <v>0</v>
      </c>
      <c r="H70" s="50">
        <f t="shared" si="6"/>
        <v>0</v>
      </c>
      <c r="I70" s="65">
        <f>'Données conventions bilatérales'!R21+'Données conventions bilatérales'!Y21+'Données conventions bilatérales'!AA21+'Données conventions bilatérales'!AC21+'Données conventions bilatérales'!AE21+'Données conventions bilatérales'!AG21</f>
        <v>0</v>
      </c>
      <c r="J70" s="180">
        <f>'Données conventions bilatérales'!$AH21*K70</f>
        <v>0</v>
      </c>
      <c r="K70" s="50">
        <f t="shared" si="7"/>
        <v>0</v>
      </c>
      <c r="L70" s="65">
        <f t="shared" si="8"/>
        <v>0</v>
      </c>
      <c r="M70" s="65">
        <f t="shared" si="9"/>
        <v>0</v>
      </c>
      <c r="N70" s="50">
        <f t="shared" si="10"/>
        <v>0</v>
      </c>
      <c r="O70" s="19"/>
      <c r="P70" s="51">
        <f t="shared" si="2"/>
        <v>0</v>
      </c>
      <c r="Q70" s="51">
        <f t="shared" si="3"/>
        <v>0</v>
      </c>
      <c r="R70" s="51">
        <f t="shared" si="4"/>
        <v>0</v>
      </c>
    </row>
    <row r="71" spans="1:18">
      <c r="A71" s="19"/>
      <c r="B71" s="1" t="s">
        <v>112</v>
      </c>
      <c r="C71" s="65">
        <f>'Données conventions bilatérales'!D22</f>
        <v>0</v>
      </c>
      <c r="D71" s="180">
        <f>'Données conventions bilatérales'!$AH22*E71</f>
        <v>0</v>
      </c>
      <c r="E71" s="50">
        <f t="shared" si="5"/>
        <v>0</v>
      </c>
      <c r="F71" s="65">
        <f>'Données conventions bilatérales'!K22</f>
        <v>0</v>
      </c>
      <c r="G71" s="180">
        <f>'Données conventions bilatérales'!$AH22*H71</f>
        <v>0</v>
      </c>
      <c r="H71" s="50">
        <f t="shared" si="6"/>
        <v>0</v>
      </c>
      <c r="I71" s="65">
        <f>'Données conventions bilatérales'!R22+'Données conventions bilatérales'!Y22+'Données conventions bilatérales'!AA22+'Données conventions bilatérales'!AC22+'Données conventions bilatérales'!AE22+'Données conventions bilatérales'!AG22</f>
        <v>1322.72</v>
      </c>
      <c r="J71" s="180">
        <f>'Données conventions bilatérales'!$AH22*K71</f>
        <v>0</v>
      </c>
      <c r="K71" s="50">
        <f t="shared" si="7"/>
        <v>1</v>
      </c>
      <c r="L71" s="65">
        <f t="shared" si="8"/>
        <v>1322.72</v>
      </c>
      <c r="M71" s="65">
        <f t="shared" si="9"/>
        <v>0</v>
      </c>
      <c r="N71" s="50">
        <f t="shared" si="10"/>
        <v>1</v>
      </c>
      <c r="O71" s="19"/>
      <c r="P71" s="51">
        <f t="shared" si="2"/>
        <v>0</v>
      </c>
      <c r="Q71" s="51">
        <f t="shared" si="3"/>
        <v>0</v>
      </c>
      <c r="R71" s="51">
        <f t="shared" si="4"/>
        <v>2.4959606460716508E-5</v>
      </c>
    </row>
    <row r="72" spans="1:18">
      <c r="A72" s="19"/>
      <c r="B72" s="1" t="s">
        <v>173</v>
      </c>
      <c r="C72" s="65">
        <f>'Données conventions bilatérales'!D23</f>
        <v>0</v>
      </c>
      <c r="D72" s="180">
        <f>'Données conventions bilatérales'!$AH23*E72</f>
        <v>0</v>
      </c>
      <c r="E72" s="50">
        <f t="shared" si="5"/>
        <v>0</v>
      </c>
      <c r="F72" s="65">
        <f>'Données conventions bilatérales'!K23</f>
        <v>0</v>
      </c>
      <c r="G72" s="180">
        <f>'Données conventions bilatérales'!$AH23*H72</f>
        <v>0</v>
      </c>
      <c r="H72" s="50">
        <f t="shared" si="6"/>
        <v>0</v>
      </c>
      <c r="I72" s="65">
        <f>'Données conventions bilatérales'!R23+'Données conventions bilatérales'!Y23+'Données conventions bilatérales'!AA23+'Données conventions bilatérales'!AC23+'Données conventions bilatérales'!AE23+'Données conventions bilatérales'!AG23</f>
        <v>0</v>
      </c>
      <c r="J72" s="180">
        <f>'Données conventions bilatérales'!$AH23*K72</f>
        <v>0</v>
      </c>
      <c r="K72" s="50">
        <f t="shared" si="7"/>
        <v>0</v>
      </c>
      <c r="L72" s="65">
        <f t="shared" si="8"/>
        <v>0</v>
      </c>
      <c r="M72" s="65">
        <f t="shared" si="9"/>
        <v>0</v>
      </c>
      <c r="N72" s="50">
        <f t="shared" si="10"/>
        <v>0</v>
      </c>
      <c r="O72" s="19"/>
      <c r="P72" s="51">
        <f t="shared" si="2"/>
        <v>0</v>
      </c>
      <c r="Q72" s="51">
        <f t="shared" si="3"/>
        <v>0</v>
      </c>
      <c r="R72" s="51">
        <f t="shared" si="4"/>
        <v>0</v>
      </c>
    </row>
    <row r="73" spans="1:18">
      <c r="A73" s="19"/>
      <c r="B73" s="1" t="s">
        <v>51</v>
      </c>
      <c r="C73" s="65">
        <f>'Données conventions bilatérales'!D24</f>
        <v>649297.19999999995</v>
      </c>
      <c r="D73" s="180">
        <f>'Données conventions bilatérales'!$AH24*E73</f>
        <v>0</v>
      </c>
      <c r="E73" s="50">
        <f t="shared" si="5"/>
        <v>0.2520624644925416</v>
      </c>
      <c r="F73" s="65">
        <f>'Données conventions bilatérales'!K24</f>
        <v>391272.32</v>
      </c>
      <c r="G73" s="180">
        <f>'Données conventions bilatérales'!$AH24*H73</f>
        <v>0</v>
      </c>
      <c r="H73" s="50">
        <f t="shared" si="6"/>
        <v>0.15189510330079106</v>
      </c>
      <c r="I73" s="65">
        <f>'Données conventions bilatérales'!R24+'Données conventions bilatérales'!Y24+'Données conventions bilatérales'!AA24+'Données conventions bilatérales'!AC24+'Données conventions bilatérales'!AE24+'Données conventions bilatérales'!AG24</f>
        <v>1535368.16</v>
      </c>
      <c r="J73" s="180">
        <f>'Données conventions bilatérales'!$AH24*K73</f>
        <v>0</v>
      </c>
      <c r="K73" s="50">
        <f t="shared" si="7"/>
        <v>0.59604243220666742</v>
      </c>
      <c r="L73" s="65">
        <f t="shared" si="8"/>
        <v>2575937.6799999997</v>
      </c>
      <c r="M73" s="65">
        <f t="shared" si="9"/>
        <v>0</v>
      </c>
      <c r="N73" s="50">
        <f t="shared" si="10"/>
        <v>1</v>
      </c>
      <c r="O73" s="19"/>
      <c r="P73" s="51">
        <f t="shared" si="2"/>
        <v>0.52722320603451256</v>
      </c>
      <c r="Q73" s="51">
        <f t="shared" si="3"/>
        <v>0.20129156425326045</v>
      </c>
      <c r="R73" s="51">
        <f t="shared" si="4"/>
        <v>2.8972257957779739E-2</v>
      </c>
    </row>
    <row r="74" spans="1:18">
      <c r="A74" s="19"/>
      <c r="B74" s="1" t="s">
        <v>50</v>
      </c>
      <c r="C74" s="65">
        <f>'Données conventions bilatérales'!D25</f>
        <v>206597.96000000002</v>
      </c>
      <c r="D74" s="180">
        <f>'Données conventions bilatérales'!$AH25*E74</f>
        <v>10846.393699193246</v>
      </c>
      <c r="E74" s="50">
        <f t="shared" si="5"/>
        <v>0.21599817464057697</v>
      </c>
      <c r="F74" s="65">
        <f>'Données conventions bilatérales'!K25</f>
        <v>169709.28999999998</v>
      </c>
      <c r="G74" s="180">
        <f>'Données conventions bilatérales'!$AH25*H74</f>
        <v>8909.7383814949535</v>
      </c>
      <c r="H74" s="50">
        <f t="shared" si="6"/>
        <v>0.1774310688234691</v>
      </c>
      <c r="I74" s="65">
        <f>'Données conventions bilatérales'!R25+'Données conventions bilatérales'!Y25+'Données conventions bilatérales'!AA25+'Données conventions bilatérales'!AC25+'Données conventions bilatérales'!AE25+'Données conventions bilatérales'!AG25</f>
        <v>580172.87</v>
      </c>
      <c r="J74" s="180">
        <f>'Données conventions bilatérales'!$AH25*K74</f>
        <v>30459.0779193118</v>
      </c>
      <c r="K74" s="50">
        <f t="shared" si="7"/>
        <v>0.60657075653595394</v>
      </c>
      <c r="L74" s="65">
        <f t="shared" si="8"/>
        <v>956480.12</v>
      </c>
      <c r="M74" s="65">
        <f t="shared" si="9"/>
        <v>50215.21</v>
      </c>
      <c r="N74" s="50">
        <f t="shared" si="10"/>
        <v>1</v>
      </c>
      <c r="O74" s="19"/>
      <c r="P74" s="51">
        <f t="shared" si="2"/>
        <v>0.1677555960989667</v>
      </c>
      <c r="Q74" s="51">
        <f t="shared" si="3"/>
        <v>8.730760318647178E-2</v>
      </c>
      <c r="R74" s="51">
        <f t="shared" si="4"/>
        <v>1.0947809449002388E-2</v>
      </c>
    </row>
    <row r="75" spans="1:18">
      <c r="A75" s="19"/>
      <c r="B75" s="1" t="s">
        <v>183</v>
      </c>
      <c r="C75" s="65">
        <f>'Données conventions bilatérales'!D26</f>
        <v>16168.039999999999</v>
      </c>
      <c r="D75" s="180">
        <f>'Données conventions bilatérales'!$AH26*E75</f>
        <v>0</v>
      </c>
      <c r="E75" s="50">
        <f t="shared" si="5"/>
        <v>6.47392557646745E-2</v>
      </c>
      <c r="F75" s="65">
        <f>'Données conventions bilatérales'!K26</f>
        <v>77173.850000000006</v>
      </c>
      <c r="G75" s="180">
        <f>'Données conventions bilatérales'!$AH26*H75</f>
        <v>0</v>
      </c>
      <c r="H75" s="50">
        <f t="shared" si="6"/>
        <v>0.30901566383399753</v>
      </c>
      <c r="I75" s="65">
        <f>'Données conventions bilatérales'!R26+'Données conventions bilatérales'!Y26+'Données conventions bilatérales'!AA26+'Données conventions bilatérales'!AC26+'Données conventions bilatérales'!AE26+'Données conventions bilatérales'!AG26</f>
        <v>156399.01</v>
      </c>
      <c r="J75" s="180">
        <f>'Données conventions bilatérales'!$AH26*K75</f>
        <v>0</v>
      </c>
      <c r="K75" s="50">
        <f t="shared" si="7"/>
        <v>0.62624508040132787</v>
      </c>
      <c r="L75" s="65">
        <f t="shared" si="8"/>
        <v>249740.90000000002</v>
      </c>
      <c r="M75" s="65">
        <f t="shared" si="9"/>
        <v>0</v>
      </c>
      <c r="N75" s="50">
        <f t="shared" si="10"/>
        <v>0.99999999999999989</v>
      </c>
      <c r="O75" s="19"/>
      <c r="P75" s="51">
        <f t="shared" si="2"/>
        <v>1.3128296077811888E-2</v>
      </c>
      <c r="Q75" s="51">
        <f t="shared" si="3"/>
        <v>3.9702386782552071E-2</v>
      </c>
      <c r="R75" s="51">
        <f t="shared" si="4"/>
        <v>2.9512351370249682E-3</v>
      </c>
    </row>
    <row r="76" spans="1:18">
      <c r="A76" s="19"/>
      <c r="B76" s="1" t="s">
        <v>114</v>
      </c>
      <c r="C76" s="65">
        <f>'Données conventions bilatérales'!D27</f>
        <v>724.40000000000009</v>
      </c>
      <c r="D76" s="180">
        <f>'Données conventions bilatérales'!$AH27*E76</f>
        <v>0</v>
      </c>
      <c r="E76" s="50">
        <f t="shared" si="5"/>
        <v>0.42583959885016254</v>
      </c>
      <c r="F76" s="65">
        <f>'Données conventions bilatérales'!K27</f>
        <v>0</v>
      </c>
      <c r="G76" s="180">
        <f>'Données conventions bilatérales'!$AH27*H76</f>
        <v>0</v>
      </c>
      <c r="H76" s="50">
        <f t="shared" si="6"/>
        <v>0</v>
      </c>
      <c r="I76" s="65">
        <f>'Données conventions bilatérales'!R27+'Données conventions bilatérales'!Y27+'Données conventions bilatérales'!AA27+'Données conventions bilatérales'!AC27+'Données conventions bilatérales'!AE27+'Données conventions bilatérales'!AG27</f>
        <v>976.71</v>
      </c>
      <c r="J76" s="180">
        <f>'Données conventions bilatérales'!$AH27*K76</f>
        <v>0</v>
      </c>
      <c r="K76" s="50">
        <f t="shared" si="7"/>
        <v>0.57416040114983746</v>
      </c>
      <c r="L76" s="65">
        <f t="shared" si="8"/>
        <v>1701.1100000000001</v>
      </c>
      <c r="M76" s="65">
        <f t="shared" si="9"/>
        <v>0</v>
      </c>
      <c r="N76" s="50">
        <f t="shared" si="10"/>
        <v>1</v>
      </c>
      <c r="O76" s="19"/>
      <c r="P76" s="51">
        <f t="shared" si="2"/>
        <v>5.8820597170510056E-4</v>
      </c>
      <c r="Q76" s="51">
        <f t="shared" si="3"/>
        <v>0</v>
      </c>
      <c r="R76" s="51">
        <f t="shared" si="4"/>
        <v>1.8430429135604227E-5</v>
      </c>
    </row>
    <row r="77" spans="1:18">
      <c r="A77" s="19"/>
      <c r="B77" s="1" t="s">
        <v>174</v>
      </c>
      <c r="C77" s="65">
        <f>'Données conventions bilatérales'!D28</f>
        <v>0</v>
      </c>
      <c r="D77" s="180">
        <f>'Données conventions bilatérales'!$AH28*E77</f>
        <v>0</v>
      </c>
      <c r="E77" s="50">
        <f t="shared" si="5"/>
        <v>0</v>
      </c>
      <c r="F77" s="65">
        <f>'Données conventions bilatérales'!K28</f>
        <v>0</v>
      </c>
      <c r="G77" s="180">
        <f>'Données conventions bilatérales'!$AH28*H77</f>
        <v>0</v>
      </c>
      <c r="H77" s="50">
        <f t="shared" si="6"/>
        <v>0</v>
      </c>
      <c r="I77" s="65">
        <f>'Données conventions bilatérales'!R28+'Données conventions bilatérales'!Y28+'Données conventions bilatérales'!AA28+'Données conventions bilatérales'!AC28+'Données conventions bilatérales'!AE28+'Données conventions bilatérales'!AG28</f>
        <v>0</v>
      </c>
      <c r="J77" s="180">
        <f>'Données conventions bilatérales'!$AH28*K77</f>
        <v>0</v>
      </c>
      <c r="K77" s="50">
        <f t="shared" si="7"/>
        <v>0</v>
      </c>
      <c r="L77" s="65">
        <f t="shared" si="8"/>
        <v>0</v>
      </c>
      <c r="M77" s="65">
        <f t="shared" si="9"/>
        <v>0</v>
      </c>
      <c r="N77" s="50">
        <f t="shared" si="10"/>
        <v>0</v>
      </c>
      <c r="O77" s="19"/>
      <c r="P77" s="51">
        <f t="shared" si="2"/>
        <v>0</v>
      </c>
      <c r="Q77" s="51">
        <f t="shared" si="3"/>
        <v>0</v>
      </c>
      <c r="R77" s="51">
        <f t="shared" si="4"/>
        <v>0</v>
      </c>
    </row>
    <row r="78" spans="1:18">
      <c r="A78" s="19"/>
      <c r="B78" s="1" t="s">
        <v>175</v>
      </c>
      <c r="C78" s="65">
        <f>'Données conventions bilatérales'!D29</f>
        <v>0</v>
      </c>
      <c r="D78" s="180">
        <f>'Données conventions bilatérales'!$AH29*E78</f>
        <v>0</v>
      </c>
      <c r="E78" s="50">
        <f t="shared" si="5"/>
        <v>0</v>
      </c>
      <c r="F78" s="65">
        <f>'Données conventions bilatérales'!K29</f>
        <v>0</v>
      </c>
      <c r="G78" s="180">
        <f>'Données conventions bilatérales'!$AH29*H78</f>
        <v>0</v>
      </c>
      <c r="H78" s="50">
        <f t="shared" si="6"/>
        <v>0</v>
      </c>
      <c r="I78" s="65">
        <f>'Données conventions bilatérales'!R29+'Données conventions bilatérales'!Y29+'Données conventions bilatérales'!AA29+'Données conventions bilatérales'!AC29+'Données conventions bilatérales'!AE29+'Données conventions bilatérales'!AG29</f>
        <v>85973.975999999995</v>
      </c>
      <c r="J78" s="180">
        <f>'Données conventions bilatérales'!$AH29*K78</f>
        <v>4271.54</v>
      </c>
      <c r="K78" s="50">
        <f t="shared" si="7"/>
        <v>1</v>
      </c>
      <c r="L78" s="65">
        <f t="shared" si="8"/>
        <v>85973.975999999995</v>
      </c>
      <c r="M78" s="65">
        <f t="shared" si="9"/>
        <v>4271.54</v>
      </c>
      <c r="N78" s="50">
        <f t="shared" si="10"/>
        <v>1</v>
      </c>
      <c r="O78" s="19"/>
      <c r="P78" s="51">
        <f t="shared" si="2"/>
        <v>0</v>
      </c>
      <c r="Q78" s="51">
        <f t="shared" si="3"/>
        <v>0</v>
      </c>
      <c r="R78" s="51">
        <f t="shared" si="4"/>
        <v>1.6223211313226426E-3</v>
      </c>
    </row>
    <row r="79" spans="1:18">
      <c r="A79" s="19"/>
      <c r="B79" s="1" t="s">
        <v>176</v>
      </c>
      <c r="C79" s="65">
        <f>'Données conventions bilatérales'!D30</f>
        <v>0</v>
      </c>
      <c r="D79" s="180">
        <f>'Données conventions bilatérales'!$AH30*E79</f>
        <v>0</v>
      </c>
      <c r="E79" s="50">
        <f t="shared" si="5"/>
        <v>0</v>
      </c>
      <c r="F79" s="65">
        <f>'Données conventions bilatérales'!K30</f>
        <v>0</v>
      </c>
      <c r="G79" s="180">
        <f>'Données conventions bilatérales'!$AH30*H79</f>
        <v>0</v>
      </c>
      <c r="H79" s="50">
        <f t="shared" si="6"/>
        <v>0</v>
      </c>
      <c r="I79" s="65">
        <f>'Données conventions bilatérales'!R30+'Données conventions bilatérales'!Y30+'Données conventions bilatérales'!AA30+'Données conventions bilatérales'!AC30+'Données conventions bilatérales'!AE30+'Données conventions bilatérales'!AG30</f>
        <v>0</v>
      </c>
      <c r="J79" s="180">
        <f>'Données conventions bilatérales'!$AH30*K79</f>
        <v>0</v>
      </c>
      <c r="K79" s="50">
        <f t="shared" si="7"/>
        <v>0</v>
      </c>
      <c r="L79" s="65">
        <f t="shared" si="8"/>
        <v>0</v>
      </c>
      <c r="M79" s="65">
        <f t="shared" si="9"/>
        <v>0</v>
      </c>
      <c r="N79" s="50">
        <f t="shared" si="10"/>
        <v>0</v>
      </c>
      <c r="O79" s="19"/>
      <c r="P79" s="51">
        <f t="shared" si="2"/>
        <v>0</v>
      </c>
      <c r="Q79" s="51">
        <f t="shared" si="3"/>
        <v>0</v>
      </c>
      <c r="R79" s="51">
        <f t="shared" si="4"/>
        <v>0</v>
      </c>
    </row>
    <row r="80" spans="1:18">
      <c r="A80" s="19"/>
      <c r="B80" s="1" t="s">
        <v>48</v>
      </c>
      <c r="C80" s="65">
        <f>'Données conventions bilatérales'!D31</f>
        <v>1998.9600000000003</v>
      </c>
      <c r="D80" s="180">
        <f>'Données conventions bilatérales'!$AH31*E80</f>
        <v>0</v>
      </c>
      <c r="E80" s="50">
        <f t="shared" si="5"/>
        <v>8.1344252264520366E-3</v>
      </c>
      <c r="F80" s="65">
        <f>'Données conventions bilatérales'!K31</f>
        <v>0</v>
      </c>
      <c r="G80" s="180">
        <f>'Données conventions bilatérales'!$AH31*H80</f>
        <v>0</v>
      </c>
      <c r="H80" s="50">
        <f t="shared" si="6"/>
        <v>0</v>
      </c>
      <c r="I80" s="65">
        <f>'Données conventions bilatérales'!R31+'Données conventions bilatérales'!Y31+'Données conventions bilatérales'!AA31+'Données conventions bilatérales'!AC31+'Données conventions bilatérales'!AE31+'Données conventions bilatérales'!AG31</f>
        <v>243741.82</v>
      </c>
      <c r="J80" s="180">
        <f>'Données conventions bilatérales'!$AH31*K80</f>
        <v>0</v>
      </c>
      <c r="K80" s="50">
        <f t="shared" si="7"/>
        <v>0.99186557477354798</v>
      </c>
      <c r="L80" s="65">
        <f t="shared" si="8"/>
        <v>245740.78</v>
      </c>
      <c r="M80" s="65">
        <f t="shared" si="9"/>
        <v>0</v>
      </c>
      <c r="N80" s="50">
        <f t="shared" si="10"/>
        <v>1</v>
      </c>
      <c r="O80" s="19"/>
      <c r="P80" s="51">
        <f t="shared" si="2"/>
        <v>1.6231366775257146E-3</v>
      </c>
      <c r="Q80" s="51">
        <f t="shared" si="3"/>
        <v>0</v>
      </c>
      <c r="R80" s="51">
        <f t="shared" si="4"/>
        <v>4.5993860418068831E-3</v>
      </c>
    </row>
    <row r="81" spans="1:18">
      <c r="A81" s="19"/>
      <c r="B81" s="1" t="s">
        <v>45</v>
      </c>
      <c r="C81" s="65">
        <f>'Données conventions bilatérales'!D32</f>
        <v>0</v>
      </c>
      <c r="D81" s="180">
        <f>'Données conventions bilatérales'!$AH32*E81</f>
        <v>0</v>
      </c>
      <c r="E81" s="50">
        <f t="shared" si="5"/>
        <v>0</v>
      </c>
      <c r="F81" s="65">
        <f>'Données conventions bilatérales'!K32</f>
        <v>0</v>
      </c>
      <c r="G81" s="180">
        <f>'Données conventions bilatérales'!$AH32*H81</f>
        <v>0</v>
      </c>
      <c r="H81" s="50">
        <f t="shared" si="6"/>
        <v>0</v>
      </c>
      <c r="I81" s="65">
        <f>'Données conventions bilatérales'!R32+'Données conventions bilatérales'!Y32+'Données conventions bilatérales'!AA32+'Données conventions bilatérales'!AC32+'Données conventions bilatérales'!AE32+'Données conventions bilatérales'!AG32</f>
        <v>695873.98</v>
      </c>
      <c r="J81" s="180">
        <f>'Données conventions bilatérales'!$AH32*K81</f>
        <v>48711.184999999998</v>
      </c>
      <c r="K81" s="50">
        <f t="shared" si="7"/>
        <v>1</v>
      </c>
      <c r="L81" s="65">
        <f t="shared" si="8"/>
        <v>695873.98</v>
      </c>
      <c r="M81" s="65">
        <f t="shared" si="9"/>
        <v>48711.184999999998</v>
      </c>
      <c r="N81" s="50">
        <f t="shared" si="10"/>
        <v>1</v>
      </c>
      <c r="O81" s="19"/>
      <c r="P81" s="51">
        <f t="shared" si="2"/>
        <v>0</v>
      </c>
      <c r="Q81" s="51">
        <f t="shared" si="3"/>
        <v>0</v>
      </c>
      <c r="R81" s="51">
        <f t="shared" si="4"/>
        <v>1.3131078903360129E-2</v>
      </c>
    </row>
    <row r="82" spans="1:18">
      <c r="A82" s="19"/>
      <c r="B82" s="245" t="s">
        <v>192</v>
      </c>
      <c r="C82" s="65">
        <f>'Données conventions bilatérales'!D33</f>
        <v>0</v>
      </c>
      <c r="D82" s="180">
        <f>'Données conventions bilatérales'!$AH33*E82</f>
        <v>0</v>
      </c>
      <c r="E82" s="50">
        <f>IFERROR(C82/L82,0)</f>
        <v>0</v>
      </c>
      <c r="F82" s="65">
        <f>'Données conventions bilatérales'!K33</f>
        <v>0</v>
      </c>
      <c r="G82" s="180">
        <f>'Données conventions bilatérales'!$AH33*H82</f>
        <v>0</v>
      </c>
      <c r="H82" s="50">
        <f>IFERROR(F82/L82,0)</f>
        <v>0</v>
      </c>
      <c r="I82" s="65">
        <f>'Données conventions bilatérales'!R33+'Données conventions bilatérales'!Y33+'Données conventions bilatérales'!AA33+'Données conventions bilatérales'!AC33+'Données conventions bilatérales'!AE33+'Données conventions bilatérales'!AG33</f>
        <v>378000</v>
      </c>
      <c r="J82" s="180">
        <f>'Données conventions bilatérales'!$AH33*K82</f>
        <v>0</v>
      </c>
      <c r="K82" s="50">
        <f t="shared" si="7"/>
        <v>1</v>
      </c>
      <c r="L82" s="65">
        <f>C82+F82+I82</f>
        <v>378000</v>
      </c>
      <c r="M82" s="65">
        <f>D82+G82+J82</f>
        <v>0</v>
      </c>
      <c r="N82" s="50">
        <f>E82+H82+K82</f>
        <v>1</v>
      </c>
      <c r="O82" s="19"/>
      <c r="P82" s="51">
        <f>C82/C$83</f>
        <v>0</v>
      </c>
      <c r="Q82" s="51">
        <f>F82/$F$83</f>
        <v>0</v>
      </c>
      <c r="R82" s="51">
        <f>I82/$I$83</f>
        <v>7.1328257243791883E-3</v>
      </c>
    </row>
    <row r="83" spans="1:18">
      <c r="A83" s="19"/>
      <c r="B83" s="143" t="s">
        <v>36</v>
      </c>
      <c r="C83" s="219">
        <f>SUM(C55:C82)</f>
        <v>1231541.3899999999</v>
      </c>
      <c r="D83" s="219">
        <f>SUM(D55:D82)</f>
        <v>20502.541365506651</v>
      </c>
      <c r="E83" s="130">
        <f>IFERROR(C83/L83,0)</f>
        <v>2.1925339360653034E-2</v>
      </c>
      <c r="F83" s="219">
        <f>SUM(F55:F82)</f>
        <v>1943808.83</v>
      </c>
      <c r="G83" s="219">
        <f>SUM(G55:G82)</f>
        <v>63643.380541087652</v>
      </c>
      <c r="H83" s="130">
        <f>IFERROR(F83/L83,0)</f>
        <v>3.4605956889507322E-2</v>
      </c>
      <c r="I83" s="219">
        <f>SUM(I55:I82)</f>
        <v>52994425.296000004</v>
      </c>
      <c r="J83" s="219">
        <f>SUM(J55:J82)</f>
        <v>3214236.176093406</v>
      </c>
      <c r="K83" s="130">
        <f>IFERROR(I83/L83,0)</f>
        <v>0.94346870374983971</v>
      </c>
      <c r="L83" s="221">
        <f>SUM(L55:L82)</f>
        <v>56169775.516000003</v>
      </c>
      <c r="M83" s="219">
        <f>SUM(M55:M82)</f>
        <v>3298382.0980000007</v>
      </c>
      <c r="N83" s="220">
        <f>E83+H83+K83</f>
        <v>1</v>
      </c>
      <c r="O83" s="76"/>
      <c r="P83" s="52">
        <f>SUM(P55:P82)</f>
        <v>1</v>
      </c>
      <c r="Q83" s="52">
        <f>SUM(Q55:Q82)</f>
        <v>1</v>
      </c>
      <c r="R83" s="52">
        <f>SUM(R55:R82)</f>
        <v>1.0000000000000002</v>
      </c>
    </row>
    <row r="84" spans="1:18">
      <c r="B84" s="202" t="s">
        <v>198</v>
      </c>
    </row>
    <row r="85" spans="1:18">
      <c r="L85" s="225"/>
      <c r="M85" s="224"/>
    </row>
    <row r="86" spans="1:18">
      <c r="B86" s="40" t="s">
        <v>184</v>
      </c>
    </row>
  </sheetData>
  <mergeCells count="8">
    <mergeCell ref="C3:D3"/>
    <mergeCell ref="Q53:Q54"/>
    <mergeCell ref="R53:R54"/>
    <mergeCell ref="C53:E53"/>
    <mergeCell ref="F53:H53"/>
    <mergeCell ref="I53:K53"/>
    <mergeCell ref="L53:N53"/>
    <mergeCell ref="P53:P54"/>
  </mergeCells>
  <conditionalFormatting sqref="Q55:Q82">
    <cfRule type="top10" dxfId="2" priority="34" rank="4"/>
  </conditionalFormatting>
  <conditionalFormatting sqref="R55:R82">
    <cfRule type="top10" dxfId="1" priority="36" rank="4"/>
  </conditionalFormatting>
  <conditionalFormatting sqref="P55:P82">
    <cfRule type="top10" dxfId="0" priority="38" rank="3"/>
  </conditionalFormatting>
  <hyperlinks>
    <hyperlink ref="A1" location="'ACCUEIL &quot;Créances&quot;'!A1" display="ACCUEIL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ACCUEIL "Créances"</vt:lpstr>
      <vt:lpstr>Cartes 1 &amp; 2</vt:lpstr>
      <vt:lpstr>Données règlements européens</vt:lpstr>
      <vt:lpstr>Graphique 1</vt:lpstr>
      <vt:lpstr>Graphique 2</vt:lpstr>
      <vt:lpstr>Graphiques 3 &amp; 4</vt:lpstr>
      <vt:lpstr>Données conventions bilatérales</vt:lpstr>
      <vt:lpstr>Graphique 5</vt:lpstr>
      <vt:lpstr>Graphique 6</vt:lpstr>
      <vt:lpstr>Graphiques 7 &amp; 8</vt:lpstr>
      <vt:lpstr>Europe_B</vt:lpstr>
      <vt:lpstr>Europe_D</vt:lpstr>
      <vt:lpstr>HorsEurope_B</vt:lpstr>
      <vt:lpstr>HorsEurope_D</vt:lpstr>
      <vt:lpstr>Rang_Europe_B</vt:lpstr>
      <vt:lpstr>Rang_Europe_D</vt:lpstr>
      <vt:lpstr>Rang_HorsEurope_B</vt:lpstr>
      <vt:lpstr>Rang_HorsEurope_D</vt:lpstr>
    </vt:vector>
  </TitlesOfParts>
  <Company>CLEISS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A.Leseurre</dc:creator>
  <cp:lastModifiedBy>Antonio Araujo</cp:lastModifiedBy>
  <cp:lastPrinted>2016-01-12T14:18:26Z</cp:lastPrinted>
  <dcterms:created xsi:type="dcterms:W3CDTF">2014-08-08T10:16:26Z</dcterms:created>
  <dcterms:modified xsi:type="dcterms:W3CDTF">2019-03-28T13:39:51Z</dcterms:modified>
</cp:coreProperties>
</file>