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6180" windowWidth="25260" windowHeight="6225"/>
  </bookViews>
  <sheets>
    <sheet name="Accueil" sheetId="15" r:id="rId1"/>
    <sheet name="CNSE - tous pays" sheetId="10" r:id="rId2"/>
    <sheet name="Histo CNSE -tous pays" sheetId="3" r:id="rId3"/>
    <sheet name="Histo CNSE - pays E.E.E" sheetId="1" r:id="rId4"/>
    <sheet name="CNSE - par pays(E.E.E)" sheetId="7" r:id="rId5"/>
    <sheet name="Schéma des procédures" sheetId="13" r:id="rId6"/>
    <sheet name="Histo CNSE-pays hors EEE" sheetId="2" r:id="rId7"/>
    <sheet name="CNSE-par pays(Hors EEE)" sheetId="12" r:id="rId8"/>
    <sheet name="SOURCES" sheetId="9" state="hidden" r:id="rId9"/>
  </sheets>
  <calcPr calcId="125725"/>
</workbook>
</file>

<file path=xl/calcChain.xml><?xml version="1.0" encoding="utf-8"?>
<calcChain xmlns="http://schemas.openxmlformats.org/spreadsheetml/2006/main">
  <c r="G28" i="12"/>
  <c r="P11" i="2"/>
  <c r="P12"/>
  <c r="P13"/>
  <c r="P14"/>
  <c r="Q16"/>
  <c r="P15"/>
  <c r="P16"/>
  <c r="P17"/>
  <c r="C117" i="9"/>
  <c r="P18" i="2"/>
  <c r="C118" i="9"/>
  <c r="P19" i="2"/>
  <c r="P10"/>
  <c r="P25" i="1"/>
  <c r="P16"/>
  <c r="P17"/>
  <c r="P18"/>
  <c r="P19"/>
  <c r="P20"/>
  <c r="P21"/>
  <c r="P22"/>
  <c r="P23"/>
  <c r="P24"/>
  <c r="P15"/>
  <c r="K15"/>
  <c r="H15"/>
  <c r="L13" i="10"/>
  <c r="O25" i="1"/>
  <c r="O17" i="3"/>
  <c r="O18" s="1"/>
  <c r="G17"/>
  <c r="G18" s="1"/>
  <c r="H12" i="2"/>
  <c r="H13"/>
  <c r="H14"/>
  <c r="H15"/>
  <c r="H16"/>
  <c r="H17"/>
  <c r="H18"/>
  <c r="H19"/>
  <c r="H11"/>
  <c r="H10"/>
  <c r="D14" i="10"/>
  <c r="E14"/>
  <c r="B14"/>
  <c r="M12" i="12"/>
  <c r="O12"/>
  <c r="O13"/>
  <c r="O14"/>
  <c r="O16"/>
  <c r="O19"/>
  <c r="O20"/>
  <c r="O22"/>
  <c r="O9"/>
  <c r="C30"/>
  <c r="E28"/>
  <c r="F28"/>
  <c r="C28"/>
  <c r="G11"/>
  <c r="G12"/>
  <c r="G13"/>
  <c r="G14"/>
  <c r="G15"/>
  <c r="G16"/>
  <c r="G17"/>
  <c r="G18"/>
  <c r="G19"/>
  <c r="G20"/>
  <c r="G21"/>
  <c r="G22"/>
  <c r="C23"/>
  <c r="G27"/>
  <c r="G26"/>
  <c r="G25"/>
  <c r="G10"/>
  <c r="G9"/>
  <c r="F30"/>
  <c r="F32"/>
  <c r="F23"/>
  <c r="M18"/>
  <c r="O18"/>
  <c r="L23"/>
  <c r="L30"/>
  <c r="L32"/>
  <c r="M26"/>
  <c r="M27"/>
  <c r="M25"/>
  <c r="M10"/>
  <c r="M11"/>
  <c r="M13"/>
  <c r="M14"/>
  <c r="M15"/>
  <c r="M16"/>
  <c r="M17"/>
  <c r="M19"/>
  <c r="M20"/>
  <c r="M21"/>
  <c r="O21"/>
  <c r="K56" i="9"/>
  <c r="M22" i="12"/>
  <c r="M9"/>
  <c r="L28"/>
  <c r="K15" i="10"/>
  <c r="K18"/>
  <c r="E15"/>
  <c r="E18" s="1"/>
  <c r="F13"/>
  <c r="G25" i="1"/>
  <c r="H16"/>
  <c r="H17"/>
  <c r="H18"/>
  <c r="H19"/>
  <c r="H20"/>
  <c r="H21"/>
  <c r="H22"/>
  <c r="H23"/>
  <c r="H24"/>
  <c r="H25"/>
  <c r="O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7"/>
  <c r="F38"/>
  <c r="M39"/>
  <c r="G3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7"/>
  <c r="L38"/>
  <c r="I38"/>
  <c r="J38"/>
  <c r="K38"/>
  <c r="G38"/>
  <c r="M38"/>
  <c r="A20" i="2"/>
  <c r="B20"/>
  <c r="O31" i="12"/>
  <c r="E38" i="7"/>
  <c r="N16" i="3"/>
  <c r="L16"/>
  <c r="J16"/>
  <c r="P16" s="1"/>
  <c r="F16"/>
  <c r="D16"/>
  <c r="N15"/>
  <c r="L15"/>
  <c r="F15"/>
  <c r="D15"/>
  <c r="B15"/>
  <c r="H15" s="1"/>
  <c r="N14"/>
  <c r="L14"/>
  <c r="J14"/>
  <c r="P14" s="1"/>
  <c r="F14"/>
  <c r="D14"/>
  <c r="B14"/>
  <c r="H14" s="1"/>
  <c r="N13"/>
  <c r="L13"/>
  <c r="J13"/>
  <c r="P13" s="1"/>
  <c r="F13"/>
  <c r="D13"/>
  <c r="B13"/>
  <c r="H13" s="1"/>
  <c r="L12"/>
  <c r="J12"/>
  <c r="P12" s="1"/>
  <c r="F12"/>
  <c r="D12"/>
  <c r="B12"/>
  <c r="H12" s="1"/>
  <c r="N11"/>
  <c r="L11"/>
  <c r="J11"/>
  <c r="P11" s="1"/>
  <c r="F11"/>
  <c r="D11"/>
  <c r="B11"/>
  <c r="H11" s="1"/>
  <c r="N10"/>
  <c r="L10"/>
  <c r="J10"/>
  <c r="P10" s="1"/>
  <c r="F10"/>
  <c r="D10"/>
  <c r="B10"/>
  <c r="H10" s="1"/>
  <c r="N9"/>
  <c r="L9"/>
  <c r="J9"/>
  <c r="P9" s="1"/>
  <c r="F9"/>
  <c r="D9"/>
  <c r="B9"/>
  <c r="H9" s="1"/>
  <c r="N8"/>
  <c r="L8"/>
  <c r="J8"/>
  <c r="P8" s="1"/>
  <c r="F8"/>
  <c r="D8"/>
  <c r="B8"/>
  <c r="H8" s="1"/>
  <c r="C18" i="2"/>
  <c r="J15" i="3"/>
  <c r="P15" s="1"/>
  <c r="M17" i="2"/>
  <c r="C17"/>
  <c r="K16"/>
  <c r="C16"/>
  <c r="C115" i="9"/>
  <c r="N12" i="3"/>
  <c r="E14" i="2"/>
  <c r="C14"/>
  <c r="K13"/>
  <c r="M12"/>
  <c r="K12"/>
  <c r="C12"/>
  <c r="M11"/>
  <c r="C11"/>
  <c r="E11"/>
  <c r="K10"/>
  <c r="C10"/>
  <c r="C24" i="1"/>
  <c r="K23"/>
  <c r="B16" i="3"/>
  <c r="H16" s="1"/>
  <c r="K22" i="1"/>
  <c r="C22"/>
  <c r="K21"/>
  <c r="C21"/>
  <c r="K20"/>
  <c r="C20"/>
  <c r="K19"/>
  <c r="C19"/>
  <c r="K18"/>
  <c r="M17"/>
  <c r="C17"/>
  <c r="K16"/>
  <c r="A25"/>
  <c r="E19"/>
  <c r="Q19"/>
  <c r="D38" i="7"/>
  <c r="C38"/>
  <c r="G31" i="12"/>
  <c r="O39" i="7"/>
  <c r="I23" i="12"/>
  <c r="I28"/>
  <c r="K28"/>
  <c r="J28"/>
  <c r="M28"/>
  <c r="L25" i="1"/>
  <c r="J25"/>
  <c r="C106" i="9"/>
  <c r="K19" i="2"/>
  <c r="L20"/>
  <c r="K23" i="12"/>
  <c r="K30"/>
  <c r="J23"/>
  <c r="M23"/>
  <c r="A18" i="3"/>
  <c r="B25" i="1"/>
  <c r="F20" i="2"/>
  <c r="D20"/>
  <c r="E23" i="12"/>
  <c r="D23"/>
  <c r="O10"/>
  <c r="K50" i="9"/>
  <c r="K53"/>
  <c r="K51"/>
  <c r="K55"/>
  <c r="K48"/>
  <c r="K54"/>
  <c r="N25" i="1"/>
  <c r="F25"/>
  <c r="D25"/>
  <c r="O19" i="7"/>
  <c r="O12"/>
  <c r="B53" i="9"/>
  <c r="A111"/>
  <c r="A112"/>
  <c r="A113"/>
  <c r="A114"/>
  <c r="A115"/>
  <c r="A116"/>
  <c r="A117"/>
  <c r="A118"/>
  <c r="A119"/>
  <c r="A110"/>
  <c r="A98"/>
  <c r="A99"/>
  <c r="A100"/>
  <c r="A101"/>
  <c r="A102"/>
  <c r="A103"/>
  <c r="A104"/>
  <c r="A105"/>
  <c r="A106"/>
  <c r="A97"/>
  <c r="A85"/>
  <c r="A86"/>
  <c r="A87"/>
  <c r="A88"/>
  <c r="A89"/>
  <c r="A90"/>
  <c r="A91"/>
  <c r="A92"/>
  <c r="A93"/>
  <c r="A84"/>
  <c r="N17" i="3"/>
  <c r="L17"/>
  <c r="J17"/>
  <c r="F17"/>
  <c r="F18" s="1"/>
  <c r="D17"/>
  <c r="B17"/>
  <c r="H17" s="1"/>
  <c r="B119" i="9"/>
  <c r="O37" i="7"/>
  <c r="B78" i="9"/>
  <c r="O36" i="7"/>
  <c r="B77" i="9"/>
  <c r="O35" i="7"/>
  <c r="B76" i="9"/>
  <c r="O34" i="7"/>
  <c r="B75" i="9"/>
  <c r="O33" i="7"/>
  <c r="B74" i="9"/>
  <c r="O32" i="7"/>
  <c r="B73" i="9"/>
  <c r="O31" i="7"/>
  <c r="B72" i="9"/>
  <c r="O30" i="7"/>
  <c r="B71" i="9"/>
  <c r="O29" i="7"/>
  <c r="B70" i="9"/>
  <c r="O28" i="7"/>
  <c r="B69" i="9"/>
  <c r="O27" i="7"/>
  <c r="B68" i="9"/>
  <c r="O26" i="7"/>
  <c r="B67" i="9"/>
  <c r="O25" i="7"/>
  <c r="B66" i="9"/>
  <c r="O24" i="7"/>
  <c r="B65" i="9"/>
  <c r="O23" i="7"/>
  <c r="B64" i="9"/>
  <c r="O22" i="7"/>
  <c r="B63" i="9"/>
  <c r="O21" i="7"/>
  <c r="B62" i="9"/>
  <c r="O20" i="7"/>
  <c r="B61" i="9"/>
  <c r="O18" i="7"/>
  <c r="B59" i="9"/>
  <c r="O17" i="7"/>
  <c r="B58" i="9"/>
  <c r="O15" i="7"/>
  <c r="B56" i="9"/>
  <c r="O14" i="7"/>
  <c r="B55" i="9"/>
  <c r="O13" i="7"/>
  <c r="B54" i="9"/>
  <c r="O11" i="7"/>
  <c r="B52" i="9"/>
  <c r="O10" i="7"/>
  <c r="B51" i="9"/>
  <c r="O8" i="7"/>
  <c r="B49" i="9"/>
  <c r="B48"/>
  <c r="O26" i="12"/>
  <c r="K59" i="9"/>
  <c r="C110"/>
  <c r="C112"/>
  <c r="B111"/>
  <c r="B113"/>
  <c r="B116"/>
  <c r="K40" i="7"/>
  <c r="J40"/>
  <c r="C104" i="9"/>
  <c r="D40" i="7"/>
  <c r="C40"/>
  <c r="B98" i="9"/>
  <c r="B99"/>
  <c r="D99" s="1"/>
  <c r="B101"/>
  <c r="C99"/>
  <c r="C101"/>
  <c r="D101"/>
  <c r="M30"/>
  <c r="H31"/>
  <c r="M31"/>
  <c r="H32"/>
  <c r="M32"/>
  <c r="M33"/>
  <c r="M34"/>
  <c r="M35"/>
  <c r="M36"/>
  <c r="M37"/>
  <c r="M38"/>
  <c r="M39"/>
  <c r="M19"/>
  <c r="M20"/>
  <c r="M21"/>
  <c r="M22"/>
  <c r="M23"/>
  <c r="G30"/>
  <c r="N30"/>
  <c r="G31"/>
  <c r="B32"/>
  <c r="G32"/>
  <c r="G33"/>
  <c r="G34"/>
  <c r="G35"/>
  <c r="G36"/>
  <c r="N36"/>
  <c r="G37"/>
  <c r="N37"/>
  <c r="G38"/>
  <c r="N38"/>
  <c r="G39"/>
  <c r="G19"/>
  <c r="G20"/>
  <c r="G21"/>
  <c r="N21"/>
  <c r="G22"/>
  <c r="N22"/>
  <c r="G23"/>
  <c r="N23"/>
  <c r="L40"/>
  <c r="K40"/>
  <c r="J40"/>
  <c r="I40"/>
  <c r="F40"/>
  <c r="E40"/>
  <c r="D40"/>
  <c r="C40"/>
  <c r="L24"/>
  <c r="K24"/>
  <c r="J24"/>
  <c r="I24"/>
  <c r="H24"/>
  <c r="F24"/>
  <c r="E24"/>
  <c r="D24"/>
  <c r="C24"/>
  <c r="B24"/>
  <c r="N34"/>
  <c r="G24"/>
  <c r="B5"/>
  <c r="N35"/>
  <c r="M24"/>
  <c r="C5"/>
  <c r="H40"/>
  <c r="N39"/>
  <c r="B40"/>
  <c r="N19"/>
  <c r="O9" i="7"/>
  <c r="B50" i="9"/>
  <c r="N20"/>
  <c r="N33"/>
  <c r="M40"/>
  <c r="C4"/>
  <c r="N31"/>
  <c r="E30" i="12"/>
  <c r="E32"/>
  <c r="E40" i="7"/>
  <c r="D18" i="3"/>
  <c r="N24" i="9"/>
  <c r="G40"/>
  <c r="N32"/>
  <c r="K57"/>
  <c r="B15" i="10"/>
  <c r="D15"/>
  <c r="D18" s="1"/>
  <c r="B4" i="9"/>
  <c r="N40"/>
  <c r="N20" i="2"/>
  <c r="M19"/>
  <c r="B117" i="9"/>
  <c r="B115"/>
  <c r="D115" s="1"/>
  <c r="C116"/>
  <c r="J20" i="2"/>
  <c r="M15"/>
  <c r="M16"/>
  <c r="I40" i="7"/>
  <c r="F17" i="10"/>
  <c r="I23" i="1"/>
  <c r="L17" i="10"/>
  <c r="Q14" i="2"/>
  <c r="Q15"/>
  <c r="Q24" i="1"/>
  <c r="C98" i="9"/>
  <c r="M18" i="1"/>
  <c r="C102" i="9"/>
  <c r="C100"/>
  <c r="C105"/>
  <c r="M19" i="1"/>
  <c r="M23"/>
  <c r="C103" i="9"/>
  <c r="Q17" i="1"/>
  <c r="Q22"/>
  <c r="M16"/>
  <c r="Q16"/>
  <c r="K17"/>
  <c r="M22"/>
  <c r="J18" i="3"/>
  <c r="Q23" i="1"/>
  <c r="D98" i="9"/>
  <c r="Q21" i="1"/>
  <c r="M21"/>
  <c r="Q18"/>
  <c r="Q20"/>
  <c r="M20"/>
  <c r="I18"/>
  <c r="C18"/>
  <c r="B104" i="9"/>
  <c r="D104"/>
  <c r="E17" i="1"/>
  <c r="E20"/>
  <c r="E22"/>
  <c r="E23"/>
  <c r="I19"/>
  <c r="B100" i="9"/>
  <c r="E18" i="1"/>
  <c r="I17"/>
  <c r="E21"/>
  <c r="C23"/>
  <c r="B103" i="9"/>
  <c r="C16" i="1"/>
  <c r="I21"/>
  <c r="I22"/>
  <c r="E16"/>
  <c r="B105" i="9"/>
  <c r="B102"/>
  <c r="I20" i="1"/>
  <c r="I16"/>
  <c r="C97" i="9"/>
  <c r="D97" s="1"/>
  <c r="B97"/>
  <c r="C15" i="1"/>
  <c r="E15"/>
  <c r="O16" i="7"/>
  <c r="B57" i="9"/>
  <c r="L18" i="3"/>
  <c r="K11" i="2"/>
  <c r="N18" i="3"/>
  <c r="C111" i="9"/>
  <c r="E111"/>
  <c r="M14" i="2"/>
  <c r="C114" i="9"/>
  <c r="D114" s="1"/>
  <c r="Q18" i="2"/>
  <c r="Q12"/>
  <c r="K18"/>
  <c r="K14"/>
  <c r="D116" i="9"/>
  <c r="C113"/>
  <c r="E113"/>
  <c r="Q13" i="2"/>
  <c r="K17"/>
  <c r="Q17"/>
  <c r="M13"/>
  <c r="K15"/>
  <c r="E115" i="9"/>
  <c r="E18" i="2"/>
  <c r="B118" i="9"/>
  <c r="B112"/>
  <c r="E112" s="1"/>
  <c r="E10" i="2"/>
  <c r="I16"/>
  <c r="I15"/>
  <c r="D113" i="9"/>
  <c r="B114"/>
  <c r="B110"/>
  <c r="D110" s="1"/>
  <c r="I14" i="2"/>
  <c r="I11"/>
  <c r="E16"/>
  <c r="I18"/>
  <c r="I12"/>
  <c r="I13"/>
  <c r="C15"/>
  <c r="E17"/>
  <c r="E15"/>
  <c r="E12"/>
  <c r="E13"/>
  <c r="I17"/>
  <c r="C13"/>
  <c r="P20"/>
  <c r="K20"/>
  <c r="Q11"/>
  <c r="M10"/>
  <c r="O25" i="12"/>
  <c r="K58" i="9"/>
  <c r="D30" i="12"/>
  <c r="C14" i="10"/>
  <c r="D100" i="9"/>
  <c r="E100"/>
  <c r="E104"/>
  <c r="E105"/>
  <c r="E102"/>
  <c r="E103"/>
  <c r="E114"/>
  <c r="E98"/>
  <c r="E99"/>
  <c r="D103"/>
  <c r="D105"/>
  <c r="D102"/>
  <c r="E101"/>
  <c r="I24" i="1"/>
  <c r="C25"/>
  <c r="E24"/>
  <c r="B106" i="9"/>
  <c r="E106" s="1"/>
  <c r="H29" i="7"/>
  <c r="H12"/>
  <c r="C72" i="9"/>
  <c r="C66"/>
  <c r="C52"/>
  <c r="C69"/>
  <c r="C56"/>
  <c r="C74"/>
  <c r="C62"/>
  <c r="C77"/>
  <c r="C65"/>
  <c r="C70"/>
  <c r="C73"/>
  <c r="C48"/>
  <c r="C78"/>
  <c r="B80"/>
  <c r="C55"/>
  <c r="C60"/>
  <c r="C58"/>
  <c r="C49"/>
  <c r="C64"/>
  <c r="C54"/>
  <c r="C67"/>
  <c r="C59"/>
  <c r="C63"/>
  <c r="C75"/>
  <c r="C68"/>
  <c r="C51"/>
  <c r="C71"/>
  <c r="C57"/>
  <c r="C76"/>
  <c r="C61"/>
  <c r="C50"/>
  <c r="B2"/>
  <c r="E25" i="1"/>
  <c r="D106" i="9"/>
  <c r="H27" i="7"/>
  <c r="H19"/>
  <c r="H37"/>
  <c r="H9"/>
  <c r="H10"/>
  <c r="H13"/>
  <c r="H33"/>
  <c r="H20"/>
  <c r="H30"/>
  <c r="H28"/>
  <c r="G40"/>
  <c r="H8"/>
  <c r="H22"/>
  <c r="H32"/>
  <c r="H18"/>
  <c r="H23"/>
  <c r="H26"/>
  <c r="H14"/>
  <c r="H7"/>
  <c r="H31"/>
  <c r="H38"/>
  <c r="H35"/>
  <c r="H17"/>
  <c r="H24"/>
  <c r="H21"/>
  <c r="H34"/>
  <c r="H25"/>
  <c r="H15"/>
  <c r="H11"/>
  <c r="H36"/>
  <c r="H16"/>
  <c r="N27"/>
  <c r="N33"/>
  <c r="N20"/>
  <c r="N8"/>
  <c r="N26"/>
  <c r="N7"/>
  <c r="N9"/>
  <c r="N34"/>
  <c r="N16"/>
  <c r="N36"/>
  <c r="N29"/>
  <c r="N10"/>
  <c r="N25"/>
  <c r="N30"/>
  <c r="N28"/>
  <c r="N19"/>
  <c r="M40"/>
  <c r="N14"/>
  <c r="N11"/>
  <c r="N17"/>
  <c r="N18"/>
  <c r="N12"/>
  <c r="N15"/>
  <c r="N23"/>
  <c r="N37"/>
  <c r="N31"/>
  <c r="N24"/>
  <c r="N21"/>
  <c r="N32"/>
  <c r="N22"/>
  <c r="N13"/>
  <c r="N38"/>
  <c r="O38"/>
  <c r="O40"/>
  <c r="E47" i="9"/>
  <c r="E49"/>
  <c r="F49"/>
  <c r="F52"/>
  <c r="F48"/>
  <c r="F47"/>
  <c r="E48"/>
  <c r="F50"/>
  <c r="F54"/>
  <c r="E55"/>
  <c r="F53"/>
  <c r="E53"/>
  <c r="F51"/>
  <c r="E52"/>
  <c r="E50"/>
  <c r="E51"/>
  <c r="E54"/>
  <c r="F55"/>
  <c r="G55" s="1"/>
  <c r="G53"/>
  <c r="H53"/>
  <c r="G49"/>
  <c r="H49"/>
  <c r="H52"/>
  <c r="G52"/>
  <c r="G50"/>
  <c r="H50"/>
  <c r="H51"/>
  <c r="G51"/>
  <c r="G54"/>
  <c r="H54"/>
  <c r="G48"/>
  <c r="H48"/>
  <c r="H47"/>
  <c r="G47"/>
  <c r="P17" i="3"/>
  <c r="M17" s="1"/>
  <c r="K24" i="1"/>
  <c r="M24"/>
  <c r="D111" i="9"/>
  <c r="C3"/>
  <c r="C119"/>
  <c r="E119" s="1"/>
  <c r="Q19" i="2"/>
  <c r="M20"/>
  <c r="E116" i="9"/>
  <c r="D112"/>
  <c r="E110"/>
  <c r="H20" i="2"/>
  <c r="B3" i="9"/>
  <c r="B6" s="1"/>
  <c r="I19" i="2"/>
  <c r="C19"/>
  <c r="E19"/>
  <c r="C32" i="12"/>
  <c r="K32"/>
  <c r="J15" i="10"/>
  <c r="J18"/>
  <c r="I30" i="12"/>
  <c r="B18" i="10"/>
  <c r="C93" i="9"/>
  <c r="E20" i="2"/>
  <c r="C20"/>
  <c r="I15" i="10"/>
  <c r="I18"/>
  <c r="I32" i="12"/>
  <c r="L14" i="10"/>
  <c r="H15"/>
  <c r="H18"/>
  <c r="L15"/>
  <c r="M14"/>
  <c r="K16"/>
  <c r="J16"/>
  <c r="I16"/>
  <c r="H16"/>
  <c r="L18"/>
  <c r="M13"/>
  <c r="M15"/>
  <c r="L16"/>
  <c r="J30" i="12"/>
  <c r="J32"/>
  <c r="O15"/>
  <c r="K52" i="9"/>
  <c r="L58" s="1"/>
  <c r="O27" i="12"/>
  <c r="O17"/>
  <c r="K47" i="9"/>
  <c r="M30" i="12"/>
  <c r="N12"/>
  <c r="O28"/>
  <c r="G23"/>
  <c r="G30"/>
  <c r="H11"/>
  <c r="C15" i="10"/>
  <c r="F14"/>
  <c r="F15" s="1"/>
  <c r="O11" i="12"/>
  <c r="D32"/>
  <c r="D117" i="9"/>
  <c r="E117"/>
  <c r="E118"/>
  <c r="D118"/>
  <c r="M18" i="2"/>
  <c r="M15" i="1"/>
  <c r="E97" i="9"/>
  <c r="N25" i="12"/>
  <c r="N22"/>
  <c r="M32"/>
  <c r="N19"/>
  <c r="N17"/>
  <c r="N18"/>
  <c r="N20"/>
  <c r="N30"/>
  <c r="N14"/>
  <c r="N11"/>
  <c r="N10"/>
  <c r="N15"/>
  <c r="N21"/>
  <c r="N9"/>
  <c r="N26"/>
  <c r="N23"/>
  <c r="N13"/>
  <c r="N28"/>
  <c r="N16"/>
  <c r="N27"/>
  <c r="K49" i="9"/>
  <c r="O23" i="12"/>
  <c r="O30"/>
  <c r="O32"/>
  <c r="C18" i="10"/>
  <c r="H23" i="12"/>
  <c r="H9"/>
  <c r="H25"/>
  <c r="G32"/>
  <c r="H19"/>
  <c r="H10"/>
  <c r="H14"/>
  <c r="H18"/>
  <c r="H30"/>
  <c r="H26"/>
  <c r="H21"/>
  <c r="H17"/>
  <c r="H22"/>
  <c r="H12"/>
  <c r="H13"/>
  <c r="H28"/>
  <c r="H16"/>
  <c r="H20"/>
  <c r="H15"/>
  <c r="C2" i="9"/>
  <c r="C6" s="1"/>
  <c r="M25" i="1"/>
  <c r="K25"/>
  <c r="L54" i="9"/>
  <c r="L48"/>
  <c r="L47"/>
  <c r="L51"/>
  <c r="B93" l="1"/>
  <c r="E93" s="1"/>
  <c r="C17" i="3"/>
  <c r="I17"/>
  <c r="E17"/>
  <c r="C16"/>
  <c r="I16"/>
  <c r="E16"/>
  <c r="B92" i="9"/>
  <c r="K15" i="3"/>
  <c r="C91" i="9"/>
  <c r="M15" i="3"/>
  <c r="Q15"/>
  <c r="I9"/>
  <c r="C9"/>
  <c r="B85" i="9"/>
  <c r="E9" i="3"/>
  <c r="C11"/>
  <c r="E11"/>
  <c r="B87" i="9"/>
  <c r="I11" i="3"/>
  <c r="C90" i="9"/>
  <c r="Q14" i="3"/>
  <c r="M14"/>
  <c r="K14"/>
  <c r="C85" i="9"/>
  <c r="D85" s="1"/>
  <c r="M9" i="3"/>
  <c r="K9"/>
  <c r="Q9"/>
  <c r="K11"/>
  <c r="M11"/>
  <c r="C87" i="9"/>
  <c r="D87" s="1"/>
  <c r="Q11" i="3"/>
  <c r="B89" i="9"/>
  <c r="E13" i="3"/>
  <c r="C13"/>
  <c r="I13"/>
  <c r="B91" i="9"/>
  <c r="E91" s="1"/>
  <c r="I15" i="3"/>
  <c r="E15"/>
  <c r="C15"/>
  <c r="C16" i="10"/>
  <c r="B16"/>
  <c r="E16"/>
  <c r="G13"/>
  <c r="G14"/>
  <c r="F18"/>
  <c r="D16"/>
  <c r="E8" i="3"/>
  <c r="B84" i="9"/>
  <c r="E84" s="1"/>
  <c r="C8" i="3"/>
  <c r="H18"/>
  <c r="E18" s="1"/>
  <c r="C10"/>
  <c r="B86" i="9"/>
  <c r="E10" i="3"/>
  <c r="I10"/>
  <c r="C12"/>
  <c r="B88" i="9"/>
  <c r="E88" s="1"/>
  <c r="E12" i="3"/>
  <c r="I12"/>
  <c r="Q13"/>
  <c r="C89" i="9"/>
  <c r="D89" s="1"/>
  <c r="K13" i="3"/>
  <c r="M13"/>
  <c r="C92" i="9"/>
  <c r="D92" s="1"/>
  <c r="K16" i="3"/>
  <c r="Q17"/>
  <c r="Q16"/>
  <c r="M16"/>
  <c r="D93" i="9"/>
  <c r="M8" i="3"/>
  <c r="C84" i="9"/>
  <c r="K8" i="3"/>
  <c r="P18"/>
  <c r="K10"/>
  <c r="M10"/>
  <c r="C86" i="9"/>
  <c r="D86" s="1"/>
  <c r="Q10" i="3"/>
  <c r="K12"/>
  <c r="C88" i="9"/>
  <c r="M12" i="3"/>
  <c r="Q12"/>
  <c r="C14"/>
  <c r="B90" i="9"/>
  <c r="E90" s="1"/>
  <c r="E14" i="3"/>
  <c r="I14"/>
  <c r="L57" i="9"/>
  <c r="L50"/>
  <c r="L53"/>
  <c r="L59"/>
  <c r="K17" i="3"/>
  <c r="D119" i="9"/>
  <c r="N49"/>
  <c r="L52"/>
  <c r="L49"/>
  <c r="N51" s="1"/>
  <c r="L56"/>
  <c r="H55"/>
  <c r="B18" i="3"/>
  <c r="C18" s="1"/>
  <c r="K61" i="9"/>
  <c r="L55"/>
  <c r="N48" l="1"/>
  <c r="E86"/>
  <c r="E89"/>
  <c r="D90"/>
  <c r="K18" i="3"/>
  <c r="M18"/>
  <c r="O50" i="9"/>
  <c r="O48"/>
  <c r="F16" i="10"/>
  <c r="D91" i="9"/>
  <c r="E87"/>
  <c r="E85"/>
  <c r="N50"/>
  <c r="O51"/>
  <c r="N47"/>
  <c r="O49"/>
  <c r="O47"/>
  <c r="D88"/>
  <c r="D84"/>
  <c r="G15" i="10"/>
  <c r="E92" i="9"/>
  <c r="P47" l="1"/>
  <c r="Q47"/>
  <c r="Q51"/>
  <c r="P51"/>
  <c r="Q50"/>
  <c r="P50"/>
  <c r="P49"/>
  <c r="Q49"/>
  <c r="P48"/>
  <c r="Q48"/>
</calcChain>
</file>

<file path=xl/comments1.xml><?xml version="1.0" encoding="utf-8"?>
<comments xmlns="http://schemas.openxmlformats.org/spreadsheetml/2006/main">
  <authors>
    <author>a.araujo</author>
  </authors>
  <commentList>
    <comment ref="O46" authorId="0">
      <text>
        <r>
          <rPr>
            <b/>
            <sz val="8"/>
            <color indexed="81"/>
            <rFont val="Tahoma"/>
            <family val="2"/>
          </rPr>
          <t>a.araujo:</t>
        </r>
        <r>
          <rPr>
            <sz val="8"/>
            <color indexed="81"/>
            <rFont val="Tahoma"/>
            <family val="2"/>
          </rPr>
          <t xml:space="preserve">
Par défaut ont été choisis les 4 pays avec les flux négatifs les plus importants et 1 seul pays avec flux positif le plus important.
Si nécessaire donc, modifier et les formules ci-contre et la mise en forme conditionnelle selon les nouveaux besoins.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a.araujo:</t>
        </r>
        <r>
          <rPr>
            <sz val="8"/>
            <color indexed="81"/>
            <rFont val="Tahoma"/>
            <family val="2"/>
          </rPr>
          <t xml:space="preserve">
Par défaut ont été choisis les 6 pays avec les flux positifs les plus importants et les 3 pays avec flux négatifs les plus importants.
Si nécessaire donc, modifier et les formules ci-contre et la mise en forme conditionnelle selon les nouveaux besoins.</t>
        </r>
      </text>
    </comment>
  </commentList>
</comments>
</file>

<file path=xl/sharedStrings.xml><?xml version="1.0" encoding="utf-8"?>
<sst xmlns="http://schemas.openxmlformats.org/spreadsheetml/2006/main" count="780" uniqueCount="264">
  <si>
    <t>Pays</t>
  </si>
  <si>
    <t>Soins de santé</t>
  </si>
  <si>
    <t xml:space="preserve">Total </t>
  </si>
  <si>
    <t>Factures</t>
  </si>
  <si>
    <t>Forfaits</t>
  </si>
  <si>
    <t>médicaux</t>
  </si>
  <si>
    <t>Allemagne</t>
  </si>
  <si>
    <t>Autriche</t>
  </si>
  <si>
    <t>HOS Vienne</t>
  </si>
  <si>
    <t>Belgique</t>
  </si>
  <si>
    <t>INAMI-FAT-FMP  Bruxelles</t>
  </si>
  <si>
    <t>Espagne</t>
  </si>
  <si>
    <t>INSS Madrid</t>
  </si>
  <si>
    <t>Estonie</t>
  </si>
  <si>
    <t>EH Tallinn</t>
  </si>
  <si>
    <t>Finlande</t>
  </si>
  <si>
    <t>KSKLT Helsinki</t>
  </si>
  <si>
    <t>Grèce</t>
  </si>
  <si>
    <t>Hongrie</t>
  </si>
  <si>
    <t>OEP Budapest</t>
  </si>
  <si>
    <t>Islande</t>
  </si>
  <si>
    <t>TR Reyjavik</t>
  </si>
  <si>
    <t>Italie</t>
  </si>
  <si>
    <t>MS - INAIL - Rome</t>
  </si>
  <si>
    <t>Lituanie</t>
  </si>
  <si>
    <t>VLK Vilnius</t>
  </si>
  <si>
    <t>Luxembourg</t>
  </si>
  <si>
    <t>CNAMO - AAA - Luxembourg</t>
  </si>
  <si>
    <t>Malte</t>
  </si>
  <si>
    <t>DTSS La Valette</t>
  </si>
  <si>
    <t>Pays-Bas</t>
  </si>
  <si>
    <t>Pologne</t>
  </si>
  <si>
    <t>NFZ Varsovie</t>
  </si>
  <si>
    <t>Portugal</t>
  </si>
  <si>
    <t>DRICSS Lisbonne</t>
  </si>
  <si>
    <t>République Tchèque</t>
  </si>
  <si>
    <t>CMU Prague</t>
  </si>
  <si>
    <t>Royaume-Uni</t>
  </si>
  <si>
    <t>DH Londres</t>
  </si>
  <si>
    <t>Slovaquie</t>
  </si>
  <si>
    <t>SP Bratislava</t>
  </si>
  <si>
    <t>Slovénie</t>
  </si>
  <si>
    <t>Suède</t>
  </si>
  <si>
    <t>RFKV Stockholm</t>
  </si>
  <si>
    <t>Suisse</t>
  </si>
  <si>
    <t>Norvège</t>
  </si>
  <si>
    <t>RTV Oslo</t>
  </si>
  <si>
    <t>Chypre</t>
  </si>
  <si>
    <t>MTSS-MS-MF Nicosia</t>
  </si>
  <si>
    <t>Années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</si>
  <si>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</si>
  <si>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</si>
  <si>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</si>
  <si>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</si>
  <si>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</si>
  <si>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</si>
  <si>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</si>
  <si>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</si>
  <si>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</si>
  <si>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Frais de </t>
  </si>
  <si>
    <t xml:space="preserve">Frais de gestion </t>
  </si>
  <si>
    <t>contrôles</t>
  </si>
  <si>
    <t>et de contrôle</t>
  </si>
  <si>
    <t>Total</t>
  </si>
  <si>
    <t>médical et administratif</t>
  </si>
  <si>
    <t>familiales</t>
  </si>
  <si>
    <t>Danemark</t>
  </si>
  <si>
    <t>Irlande</t>
  </si>
  <si>
    <t>Lettonie</t>
  </si>
  <si>
    <t>VSAA-VOVAA Riga</t>
  </si>
  <si>
    <t>SOLDE</t>
  </si>
  <si>
    <t>pour alloc.</t>
  </si>
  <si>
    <t>Contrôles médicaux</t>
  </si>
  <si>
    <t>Andorre</t>
  </si>
  <si>
    <t>Croatie</t>
  </si>
  <si>
    <t>Maroc</t>
  </si>
  <si>
    <t>Québec</t>
  </si>
  <si>
    <t>Turquie</t>
  </si>
  <si>
    <t>Bulgarie</t>
  </si>
  <si>
    <t>FNAM - Sofia</t>
  </si>
  <si>
    <t>2008</t>
  </si>
  <si>
    <t>période (1999 - 2008)</t>
  </si>
  <si>
    <t>DVKA Bonn - HGB  Mannheim</t>
  </si>
  <si>
    <t>EEE</t>
  </si>
  <si>
    <t>HORS EEE</t>
  </si>
  <si>
    <t>Rembts CLEISS à Etranger</t>
  </si>
  <si>
    <t>Rembts Etranger à CLEISS</t>
  </si>
  <si>
    <t>Montants des remboursements (en €) par le CLEISS à la Nelle-Calédonie</t>
  </si>
  <si>
    <t>Montants des remboursements (en €) par la Nelle-Calédonie au CLEISS</t>
  </si>
  <si>
    <t>Montants des remboursements (en €) par le CLEISS à la Polynésie française</t>
  </si>
  <si>
    <t>Montants des remboursements (en €) par la Polynésie française au CLEISS</t>
  </si>
  <si>
    <t>Mauritanie</t>
  </si>
  <si>
    <t>Polynésie fr</t>
  </si>
  <si>
    <t>Nelle Calédonie</t>
  </si>
  <si>
    <t>%</t>
  </si>
  <si>
    <t>% du total</t>
  </si>
  <si>
    <t>% d'évolution (N/N-1)</t>
  </si>
  <si>
    <t xml:space="preserve">Tunisie </t>
  </si>
  <si>
    <t xml:space="preserve">Nouvelle Calédonie </t>
  </si>
  <si>
    <t xml:space="preserve">Algérie </t>
  </si>
  <si>
    <t xml:space="preserve">Polynésie française </t>
  </si>
  <si>
    <t>% Evol (N/N-1)</t>
  </si>
  <si>
    <t>% d'évolution</t>
  </si>
  <si>
    <t>-</t>
  </si>
  <si>
    <t>Sous total</t>
  </si>
  <si>
    <t>Décrets de coordination</t>
  </si>
  <si>
    <t>Mali</t>
  </si>
  <si>
    <t>Roumanie</t>
  </si>
  <si>
    <t>2009</t>
  </si>
  <si>
    <t>Rembouresements EEE</t>
  </si>
  <si>
    <t>Rembouresements Hors EEE</t>
  </si>
  <si>
    <t>Rang</t>
  </si>
  <si>
    <t>Conventions bilatérales</t>
  </si>
  <si>
    <t>% évolution (N/N-1)</t>
  </si>
  <si>
    <t>Prestations en nature</t>
  </si>
  <si>
    <t>Séjour temporaire</t>
  </si>
  <si>
    <t>Transfert résidence</t>
  </si>
  <si>
    <t>AT incapacité temporaire</t>
  </si>
  <si>
    <t>Observations</t>
  </si>
  <si>
    <t>Algérie</t>
  </si>
  <si>
    <t>T</t>
  </si>
  <si>
    <t xml:space="preserve"> F*</t>
  </si>
  <si>
    <r>
      <t xml:space="preserve"> T</t>
    </r>
    <r>
      <rPr>
        <vertAlign val="superscript"/>
        <sz val="8"/>
        <color indexed="8"/>
        <rFont val="Times New Roman"/>
        <family val="1"/>
      </rPr>
      <t>1</t>
    </r>
  </si>
  <si>
    <t>* Ainsi que les travailleurs algériens autorisés à se faire soigner en France (Protocole annexe à la Convention)</t>
  </si>
  <si>
    <t>F</t>
  </si>
  <si>
    <t>Bénin</t>
  </si>
  <si>
    <t>* Uniquement dans le sens France-Bénin (cf Protocole n°1)</t>
  </si>
  <si>
    <t>F et T</t>
  </si>
  <si>
    <t>Cameroun</t>
  </si>
  <si>
    <r>
      <t xml:space="preserve">  F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*</t>
    </r>
  </si>
  <si>
    <t>R prov.</t>
  </si>
  <si>
    <t>* Option possible en AT</t>
  </si>
  <si>
    <t>Cap-Vert</t>
  </si>
  <si>
    <t>Congo</t>
  </si>
  <si>
    <t>T* F*</t>
  </si>
  <si>
    <r>
      <t>T F</t>
    </r>
    <r>
      <rPr>
        <vertAlign val="superscript"/>
        <sz val="8"/>
        <color indexed="8"/>
        <rFont val="Times New Roman"/>
        <family val="1"/>
      </rPr>
      <t>5</t>
    </r>
  </si>
  <si>
    <t>* T pour la maternité, F uniquement dans le sens France-Congo pour la maladie (cf Protocole n°1)</t>
  </si>
  <si>
    <t>Côte d'Ivoire</t>
  </si>
  <si>
    <t>* Dans les 2 sens pour la maternité, uniquement dans le sens France-Côte d'Ivoire pour la maladie (cf Protocole n°1)</t>
  </si>
  <si>
    <t>Gabon</t>
  </si>
  <si>
    <t>F* T</t>
  </si>
  <si>
    <t>* Pour le séjour temporaire autre que pendant le congé payé</t>
  </si>
  <si>
    <t>Israël</t>
  </si>
  <si>
    <t>Jersey</t>
  </si>
  <si>
    <t>R</t>
  </si>
  <si>
    <t>* Seulement dans le sens Jersey-France pendant 13 semaines maximum</t>
  </si>
  <si>
    <t>Macédoine</t>
  </si>
  <si>
    <t>Madagascar</t>
  </si>
  <si>
    <r>
      <t>F et T</t>
    </r>
    <r>
      <rPr>
        <vertAlign val="superscript"/>
        <sz val="8"/>
        <color indexed="8"/>
        <rFont val="Times New Roman"/>
        <family val="1"/>
      </rPr>
      <t>1</t>
    </r>
  </si>
  <si>
    <r>
      <t>F et T</t>
    </r>
    <r>
      <rPr>
        <vertAlign val="superscript"/>
        <sz val="8"/>
        <color indexed="8"/>
        <rFont val="Times New Roman"/>
        <family val="1"/>
      </rPr>
      <t>2</t>
    </r>
  </si>
  <si>
    <t>Monaco</t>
  </si>
  <si>
    <t>Monténégro</t>
  </si>
  <si>
    <t>Niger</t>
  </si>
  <si>
    <t>Polynésie française</t>
  </si>
  <si>
    <t>Sénégal</t>
  </si>
  <si>
    <t>* Uniquement dans le sens France-Sénégal pour la maladie (cf Protocole n°1)</t>
  </si>
  <si>
    <t>Serbie</t>
  </si>
  <si>
    <t>Togo</t>
  </si>
  <si>
    <r>
      <t>R et T</t>
    </r>
    <r>
      <rPr>
        <vertAlign val="superscript"/>
        <sz val="8"/>
        <color indexed="8"/>
        <rFont val="Times New Roman"/>
        <family val="1"/>
      </rPr>
      <t>1</t>
    </r>
  </si>
  <si>
    <t>* Dans les 2 sens pour la maternité, uniquement dans le sens France-Togo pour la maladie (cf Protocole n°1)</t>
  </si>
  <si>
    <t>Tunisie</t>
  </si>
  <si>
    <r>
      <t>T</t>
    </r>
    <r>
      <rPr>
        <vertAlign val="superscript"/>
        <sz val="8"/>
        <color indexed="8"/>
        <rFont val="Times New Roman"/>
        <family val="1"/>
      </rPr>
      <t>1</t>
    </r>
  </si>
  <si>
    <r>
      <t>F</t>
    </r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>T</t>
    </r>
    <r>
      <rPr>
        <vertAlign val="superscript"/>
        <sz val="8"/>
        <color indexed="8"/>
        <rFont val="Times New Roman"/>
        <family val="1"/>
      </rPr>
      <t>4</t>
    </r>
  </si>
  <si>
    <r>
      <t>F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T</t>
    </r>
    <r>
      <rPr>
        <vertAlign val="superscript"/>
        <sz val="8"/>
        <color indexed="8"/>
        <rFont val="Times New Roman"/>
        <family val="1"/>
      </rPr>
      <t>4</t>
    </r>
  </si>
  <si>
    <t>F : Facture ; T : Forfait</t>
  </si>
  <si>
    <t>Majoration des dépenses de soins et/ou arrérages des rentes AT et des pensions d'invalidité</t>
  </si>
  <si>
    <t>En cas d'incapacité temporaire AT</t>
  </si>
  <si>
    <t>Prestations à la charge de la France</t>
  </si>
  <si>
    <t>Prestations à la charge de la Turquie</t>
  </si>
  <si>
    <t>Si les prestations sont servies aux travailleurs détachés par l'institution du pays de séjour</t>
  </si>
  <si>
    <t>Renonciation</t>
  </si>
  <si>
    <t>Renonciation provisoire</t>
  </si>
  <si>
    <t>le forfait T</t>
  </si>
  <si>
    <t>CNAS Bucarest</t>
  </si>
  <si>
    <t>de l'UE-EEE-Suisse</t>
  </si>
  <si>
    <t>hors UE-EEE-Suisse</t>
  </si>
  <si>
    <t>2010</t>
  </si>
  <si>
    <t>Liechtenstein</t>
  </si>
  <si>
    <t>total (2001 - 2010)</t>
  </si>
  <si>
    <t>Positif</t>
  </si>
  <si>
    <t>négatif</t>
  </si>
  <si>
    <t>années</t>
  </si>
  <si>
    <t>solde</t>
  </si>
  <si>
    <t>milieu ecart</t>
  </si>
  <si>
    <t>TOUS PAYS</t>
  </si>
  <si>
    <t>BILATERAL</t>
  </si>
  <si>
    <t>AFV Vaduz</t>
  </si>
  <si>
    <t>REGLEMENTS EUROPEENS</t>
  </si>
  <si>
    <t>Contrôle médical</t>
  </si>
  <si>
    <t>2011</t>
  </si>
  <si>
    <t>Patientombuddet Frederiksberg</t>
  </si>
  <si>
    <t xml:space="preserve"> R prov.</t>
  </si>
  <si>
    <t>TOUS TYPES D'ACCORDS</t>
  </si>
  <si>
    <t>ACCORDS INTERNATIONAUX</t>
  </si>
  <si>
    <t>Evolution sur 10 ans du solde des remboursements</t>
  </si>
  <si>
    <t></t>
  </si>
  <si>
    <t>Sélectionnez un des titres ci-dessous pour y accéder directement…</t>
  </si>
  <si>
    <t>Retour à l'accueil</t>
  </si>
  <si>
    <t>Les Règlements des Communautés Européennes sur la Sécurité Sociale des Travailleurs Migrants prévoient que les dépenses de santé sont remboursées :</t>
  </si>
  <si>
    <t>2012</t>
  </si>
  <si>
    <t>Organismes</t>
  </si>
  <si>
    <t>Familles</t>
  </si>
  <si>
    <t>Pensionnés</t>
  </si>
  <si>
    <t>Travailleurs détachés</t>
  </si>
  <si>
    <t>2013</t>
  </si>
  <si>
    <t>HZZO ZAGREB</t>
  </si>
  <si>
    <t>EOPPY Athènes</t>
  </si>
  <si>
    <t>HSE Kildare</t>
  </si>
  <si>
    <t>Zorginstituut Nederland AMSTEVEEN</t>
  </si>
  <si>
    <t>ZZZS Ljubljana</t>
  </si>
  <si>
    <t>LAMAL Soleure - CNA Lucerne</t>
  </si>
  <si>
    <t>- sur factures, pour les prestations servies aux assurés en séjour temporaire, aux détachés, aux assurés et à leur famille résidant dans un autre Etat membre que l'Etat compétent (articles 93 et 96</t>
  </si>
  <si>
    <t xml:space="preserve">  du Règlement n°574/72) ; il en est de même pour les contrôles médicaux. A compter du 01/05/2010, ces dispositions valent pour toutes les catégories d'assurés, sauf pour les pays mentionnés </t>
  </si>
  <si>
    <t xml:space="preserve">  à l'annexe 3 du règlement 987/2009.</t>
  </si>
  <si>
    <t xml:space="preserve">  celui débiteur de la pension (articles 94 et 95 du Règlement n° 574/72). A compter du 01/05/2010, ces dispositions ne valent que pour les pays mentionnés à l'annexe 3 du règlement 987/2009.</t>
  </si>
  <si>
    <t>- sur forfaits, pour  les prestations  auxquelles peuvent prétendre les  familles dans le pays d'origine des travailleurs occupés dans un autre  pays et les pensionnés résidant dans un autre pays que</t>
  </si>
  <si>
    <t>2014</t>
  </si>
  <si>
    <t>Allemagne (1)</t>
  </si>
  <si>
    <t>Luxembourg (1)</t>
  </si>
  <si>
    <t>Suisse (1)</t>
  </si>
  <si>
    <t>(1) : concerne les bateliers rhénans</t>
  </si>
  <si>
    <t>Ce remboursement est effectué selon deux modalités : la facture F</t>
  </si>
  <si>
    <t>Kosovo</t>
  </si>
  <si>
    <t>Ces prestations et les éventuels contrôles médicaux donnent lieu à un remboursement de la part des institutions françaises.</t>
  </si>
  <si>
    <t>Total 2015</t>
  </si>
  <si>
    <t>2015</t>
  </si>
  <si>
    <t>Depuis 2015, le CNSE (Centre National des Soins à l'Etranger) rassemble tous les éléments concernant ces remboursements et toutes les opérations sont effectuées par son intermédiaire.</t>
  </si>
  <si>
    <t>LES REMBOURSEMENTS DES SOINS DE SANTE DANS LE CADRE DE LA COORDINATION</t>
  </si>
  <si>
    <t>Ces remboursements correspondent aux prestations de soins de santé servies aux assurés des régimes français et étrangers de sécurité sociale et dont le coût</t>
  </si>
  <si>
    <t>prise en charge fait l'objet dans un second temps de remboursements entre institutions compétentes sur la base des créances présentées et dettes notifiées les</t>
  </si>
  <si>
    <t>années précédentes (voir début de chapitre).</t>
  </si>
  <si>
    <t>Évolution sur 10 ans des remboursements des dépenses de soins de santé dans le cadre de la coordination (tous types d'accords)</t>
  </si>
  <si>
    <t>Synthèse des remboursements des dépenses de soins de santé dans le cadre de la coordination (tous types d'accords)</t>
  </si>
  <si>
    <t>Évolution sur 10 ans des remboursements des dépenses de soins de santé dans le cadre de la coordination (règlements européens)</t>
  </si>
  <si>
    <t>Évolution sur 10 ans des remboursements des dépenses de soins de santé dans le cadre de la coordination (accords internationaux)</t>
  </si>
  <si>
    <t>Certaines conventions bilatérales prévoient que la famille restée dans le pays d'origine et le travailleur lorsqu'il retourne dans ce même pays, ont droit au</t>
  </si>
  <si>
    <t>bénéfice du régime de sécurité sociale local. Il en est de même, dans certains cas, pour les pensionnés résidant dans un de ces pays.</t>
  </si>
  <si>
    <t>Lorsque le système du forfait est appliqué en matière de soins, il est fait usage des éléments statistiques et financiers produits par le pays de résidence</t>
  </si>
  <si>
    <t>pour déterminer le coût moyen des soins.</t>
  </si>
  <si>
    <t>Quand ce même système est appliqué en  matière de contrôle médical, les prestations servies  et les remboursements effectués sont majorés d'un cer-</t>
  </si>
  <si>
    <t>Remboursements par la France</t>
  </si>
  <si>
    <t>Remboursements à la France</t>
  </si>
  <si>
    <t>tain pourcentage.</t>
  </si>
  <si>
    <r>
      <rPr>
        <b/>
        <i/>
        <sz val="16"/>
        <color indexed="12"/>
        <rFont val="Times New Roman"/>
        <family val="1"/>
      </rPr>
      <t>LES REMBOURSEMENTS DANS LE CADRE DE LA COORDINATION /</t>
    </r>
    <r>
      <rPr>
        <b/>
        <i/>
        <sz val="12"/>
        <color indexed="12"/>
        <rFont val="Times New Roman"/>
        <family val="1"/>
      </rPr>
      <t xml:space="preserve"> TOUS TYPES D ACCORDS</t>
    </r>
  </si>
  <si>
    <r>
      <rPr>
        <b/>
        <i/>
        <sz val="16"/>
        <color indexed="12"/>
        <rFont val="Times New Roman"/>
        <family val="1"/>
      </rPr>
      <t>LES REMBOURSEMENTS DANS LE CADRE DE LA COORDINATION /</t>
    </r>
    <r>
      <rPr>
        <b/>
        <i/>
        <sz val="12"/>
        <color indexed="12"/>
        <rFont val="Times New Roman"/>
        <family val="1"/>
      </rPr>
      <t xml:space="preserve"> REGLEMENTS EUROPEENS</t>
    </r>
  </si>
  <si>
    <r>
      <rPr>
        <b/>
        <i/>
        <sz val="16"/>
        <color indexed="12"/>
        <rFont val="Times New Roman"/>
        <family val="1"/>
      </rPr>
      <t>LES REMBOURSEMENTS DANS LE CADRE DE LA COORDINATION  /</t>
    </r>
    <r>
      <rPr>
        <b/>
        <i/>
        <sz val="12"/>
        <color indexed="12"/>
        <rFont val="Times New Roman"/>
        <family val="1"/>
      </rPr>
      <t xml:space="preserve"> ACCORDS INTERNATIONAUX </t>
    </r>
  </si>
  <si>
    <t>En France, l'institution en charge depuis 2015 de gérer ce mécanisme de coordination est le Centre National des Soins à l'Etranger (CNSE).</t>
  </si>
  <si>
    <t>Bosnie-Herzégovine</t>
  </si>
  <si>
    <t>Nouvelle-Calédonie</t>
  </si>
  <si>
    <t>Saint-Pierre-et-Miquelon</t>
  </si>
  <si>
    <t xml:space="preserve">Nouvelle-Calédonie </t>
  </si>
  <si>
    <t>Total général 2015</t>
  </si>
  <si>
    <t>Soldes des paiements les plus significatifs en 2016</t>
  </si>
  <si>
    <t>Les remboursements des dépenses de soins de santé dans le cadre de la coordination en 2016 (règlements européens)</t>
  </si>
  <si>
    <t>Shéma des procédures de remboursements en vigueur en 2016</t>
  </si>
  <si>
    <t>Les remboursements des dépenses de soins de santé dans le cadre de la coordination en 2016 (accords internationaux)</t>
  </si>
  <si>
    <t>Total 2016</t>
  </si>
  <si>
    <t>Total général 2016</t>
  </si>
  <si>
    <t>2016</t>
  </si>
  <si>
    <t>Frais de gestion</t>
  </si>
  <si>
    <t>Schéma des procédures de remboursements en vigueur en 2016</t>
  </si>
  <si>
    <t>Le tableau ci-dessous donne le schéma des procédures de remboursements en vigueur en 2016.</t>
  </si>
  <si>
    <t>Pays-Bas (1)</t>
  </si>
  <si>
    <t>est pris en charge dans un premier temps par les institutions des territoires sur lesquels ont été engagées ces dépenses (lieu de séjour ou de résidence). Cette</t>
  </si>
</sst>
</file>

<file path=xl/styles.xml><?xml version="1.0" encoding="utf-8"?>
<styleSheet xmlns="http://schemas.openxmlformats.org/spreadsheetml/2006/main">
  <numFmts count="15">
    <numFmt numFmtId="43" formatCode="_-* #,##0.00\ _€_-;\-* #,##0.00\ _€_-;_-* &quot;-&quot;??\ _€_-;_-@_-"/>
    <numFmt numFmtId="164" formatCode="#,##0.00;[Red]\-#,##0.00"/>
    <numFmt numFmtId="165" formatCode="&quot; &quot;@"/>
    <numFmt numFmtId="166" formatCode="#,##0.00&quot; &quot;"/>
    <numFmt numFmtId="167" formatCode="#,##0&quot; &quot;"/>
    <numFmt numFmtId="168" formatCode="0.0%"/>
    <numFmt numFmtId="169" formatCode="0.0"/>
    <numFmt numFmtId="170" formatCode="#,##0.0&quot; &quot;"/>
    <numFmt numFmtId="171" formatCode="_-* #,##0\ _€_-;\-* #,##0\ _€_-;_-* &quot;-&quot;??\ _€_-;_-@_-"/>
    <numFmt numFmtId="172" formatCode="0.0,,&quot; M € &quot;"/>
    <numFmt numFmtId="173" formatCode="#,##0.0\ &quot;€&quot;"/>
    <numFmt numFmtId="174" formatCode="#,##0.0"/>
    <numFmt numFmtId="175" formatCode="#,##0.00000"/>
    <numFmt numFmtId="176" formatCode="#,##0.000000"/>
    <numFmt numFmtId="177" formatCode="#,##0.0000000"/>
  </numFmts>
  <fonts count="55">
    <font>
      <sz val="10"/>
      <name val="Arial"/>
    </font>
    <font>
      <sz val="10"/>
      <name val="Arial"/>
      <family val="2"/>
    </font>
    <font>
      <sz val="10"/>
      <name val="Helv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6"/>
      <color indexed="12"/>
      <name val="Times New Roman"/>
      <family val="1"/>
    </font>
    <font>
      <b/>
      <sz val="9"/>
      <color indexed="57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rgb="FF3F53E9"/>
      <name val="Times New Roman"/>
      <family val="1"/>
    </font>
    <font>
      <sz val="10"/>
      <color rgb="FF3F53E9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vertAlign val="superscript"/>
      <sz val="14"/>
      <color rgb="FF0000FF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8"/>
      <color rgb="FFFF0000"/>
      <name val="Arial"/>
      <family val="2"/>
    </font>
    <font>
      <b/>
      <sz val="18"/>
      <color rgb="FFFF0000"/>
      <name val="Wingdings 3"/>
      <family val="1"/>
      <charset val="2"/>
    </font>
    <font>
      <b/>
      <sz val="10"/>
      <color rgb="FF0070C0"/>
      <name val="Arial"/>
      <family val="2"/>
    </font>
    <font>
      <i/>
      <sz val="9"/>
      <color rgb="FF3F53E9"/>
      <name val="Times New Roman"/>
      <family val="1"/>
    </font>
    <font>
      <sz val="9"/>
      <color rgb="FF3F53E9"/>
      <name val="Times New Roman"/>
      <family val="1"/>
    </font>
    <font>
      <sz val="11"/>
      <color rgb="FF000000"/>
      <name val="Calibri"/>
      <family val="2"/>
    </font>
    <font>
      <b/>
      <sz val="22"/>
      <color rgb="FF0000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3"/>
      </patternFill>
    </fill>
    <fill>
      <patternFill patternType="solid">
        <fgColor indexed="65"/>
        <bgColor indexed="11"/>
      </patternFill>
    </fill>
    <fill>
      <patternFill patternType="solid">
        <fgColor indexed="9"/>
        <bgColor indexed="11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/>
        <bgColor indexed="1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6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hair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12"/>
      </left>
      <right/>
      <top style="hair">
        <color indexed="12"/>
      </top>
      <bottom style="medium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  <diagonal/>
    </border>
    <border>
      <left/>
      <right style="thin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/>
      <top style="hair">
        <color indexed="12"/>
      </top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/>
      <diagonal/>
    </border>
    <border>
      <left/>
      <right style="thin">
        <color indexed="12"/>
      </right>
      <top style="medium">
        <color indexed="12"/>
      </top>
      <bottom/>
      <diagonal/>
    </border>
    <border>
      <left style="medium">
        <color indexed="12"/>
      </left>
      <right style="hair">
        <color indexed="12"/>
      </right>
      <top/>
      <bottom/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12"/>
      </left>
      <right style="thin">
        <color indexed="12"/>
      </right>
      <top/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/>
      <top style="hair">
        <color indexed="12"/>
      </top>
      <bottom/>
      <diagonal/>
    </border>
    <border>
      <left style="medium">
        <color indexed="12"/>
      </left>
      <right style="thin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64"/>
      </right>
      <top style="hair">
        <color indexed="12"/>
      </top>
      <bottom style="medium">
        <color indexed="12"/>
      </bottom>
      <diagonal/>
    </border>
    <border>
      <left style="thin">
        <color indexed="64"/>
      </left>
      <right/>
      <top style="hair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hair">
        <color indexed="12"/>
      </left>
      <right style="thin">
        <color indexed="12"/>
      </right>
      <top/>
      <bottom style="medium">
        <color indexed="12"/>
      </bottom>
      <diagonal/>
    </border>
    <border>
      <left style="medium">
        <color indexed="12"/>
      </left>
      <right style="hair">
        <color indexed="12"/>
      </right>
      <top/>
      <bottom style="medium">
        <color indexed="12"/>
      </bottom>
      <diagonal/>
    </border>
    <border>
      <left style="medium">
        <color indexed="12"/>
      </left>
      <right style="dashed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/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2"/>
      </right>
      <top/>
      <bottom style="medium">
        <color indexed="12"/>
      </bottom>
      <diagonal/>
    </border>
    <border>
      <left/>
      <right/>
      <top style="thin">
        <color indexed="12"/>
      </top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/>
      <right/>
      <top style="medium">
        <color rgb="FF0000FF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rgb="FF0000FF"/>
      </top>
      <bottom style="hair">
        <color indexed="12"/>
      </bottom>
      <diagonal/>
    </border>
    <border>
      <left/>
      <right style="thin">
        <color indexed="12"/>
      </right>
      <top style="medium">
        <color rgb="FF0000FF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medium">
        <color rgb="FF0000FF"/>
      </top>
      <bottom style="hair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rgb="FF0000FF"/>
      </top>
      <bottom style="hair">
        <color indexed="12"/>
      </bottom>
      <diagonal/>
    </border>
    <border>
      <left style="thin">
        <color indexed="12"/>
      </left>
      <right/>
      <top style="medium">
        <color rgb="FF0000FF"/>
      </top>
      <bottom/>
      <diagonal/>
    </border>
    <border>
      <left style="medium">
        <color indexed="12"/>
      </left>
      <right style="medium">
        <color rgb="FF0000FF"/>
      </right>
      <top style="medium">
        <color rgb="FF0000FF"/>
      </top>
      <bottom style="hair">
        <color indexed="12"/>
      </bottom>
      <diagonal/>
    </border>
    <border>
      <left style="medium">
        <color indexed="12"/>
      </left>
      <right style="medium">
        <color rgb="FF0000FF"/>
      </right>
      <top style="hair">
        <color indexed="12"/>
      </top>
      <bottom style="hair">
        <color indexed="12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 style="medium">
        <color rgb="FF00FF00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/>
      <top style="medium">
        <color rgb="FF0000FF"/>
      </top>
      <bottom/>
      <diagonal/>
    </border>
    <border>
      <left style="dotted">
        <color indexed="64"/>
      </left>
      <right style="dotted">
        <color indexed="64"/>
      </right>
      <top style="medium">
        <color rgb="FF0000FF"/>
      </top>
      <bottom/>
      <diagonal/>
    </border>
    <border>
      <left/>
      <right style="dotted">
        <color indexed="64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FF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rgb="FF0000FF"/>
      </bottom>
      <diagonal/>
    </border>
    <border>
      <left/>
      <right style="dotted">
        <color indexed="64"/>
      </right>
      <top/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indexed="12"/>
      </right>
      <top style="hair">
        <color rgb="FF0000FF"/>
      </top>
      <bottom style="hair">
        <color indexed="12"/>
      </bottom>
      <diagonal/>
    </border>
    <border>
      <left style="medium">
        <color rgb="FF0000FF"/>
      </left>
      <right style="medium">
        <color indexed="12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indexed="12"/>
      </right>
      <top style="hair">
        <color indexed="12"/>
      </top>
      <bottom style="hair">
        <color rgb="FF0000FF"/>
      </bottom>
      <diagonal/>
    </border>
    <border>
      <left style="medium">
        <color indexed="12"/>
      </left>
      <right/>
      <top style="medium">
        <color rgb="FF0000FF"/>
      </top>
      <bottom/>
      <diagonal/>
    </border>
    <border>
      <left style="thin">
        <color indexed="12"/>
      </left>
      <right style="thin">
        <color indexed="12"/>
      </right>
      <top style="medium">
        <color rgb="FF0000FF"/>
      </top>
      <bottom/>
      <diagonal/>
    </border>
    <border>
      <left/>
      <right style="medium">
        <color indexed="12"/>
      </right>
      <top style="medium">
        <color rgb="FF3F53E9"/>
      </top>
      <bottom/>
      <diagonal/>
    </border>
    <border>
      <left style="medium">
        <color rgb="FF0000FF"/>
      </left>
      <right style="medium">
        <color indexed="12"/>
      </right>
      <top style="hair">
        <color rgb="FF0000FF"/>
      </top>
      <bottom style="medium">
        <color rgb="FF0000FF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rgb="FF0000FF"/>
      </bottom>
      <diagonal/>
    </border>
    <border>
      <left/>
      <right style="thin">
        <color indexed="12"/>
      </right>
      <top style="hair">
        <color indexed="12"/>
      </top>
      <bottom style="medium">
        <color rgb="FF0000FF"/>
      </bottom>
      <diagonal/>
    </border>
    <border>
      <left style="thin">
        <color indexed="12"/>
      </left>
      <right style="medium">
        <color indexed="12"/>
      </right>
      <top/>
      <bottom style="medium">
        <color rgb="FF0000FF"/>
      </bottom>
      <diagonal/>
    </border>
    <border>
      <left style="thin">
        <color indexed="12"/>
      </left>
      <right/>
      <top style="hair">
        <color indexed="12"/>
      </top>
      <bottom style="medium">
        <color rgb="FF0000FF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rgb="FF0000FF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rgb="FF0000FF"/>
      </bottom>
      <diagonal/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rgb="FF0000FF"/>
      </bottom>
      <diagonal/>
    </border>
    <border>
      <left style="medium">
        <color rgb="FF0000FF"/>
      </left>
      <right style="medium">
        <color indexed="12"/>
      </right>
      <top/>
      <bottom/>
      <diagonal/>
    </border>
    <border>
      <left style="dashed">
        <color indexed="12"/>
      </left>
      <right style="dashed">
        <color indexed="12"/>
      </right>
      <top style="hair">
        <color indexed="12"/>
      </top>
      <bottom style="medium">
        <color rgb="FF0000FF"/>
      </bottom>
      <diagonal/>
    </border>
    <border>
      <left style="dashed">
        <color indexed="12"/>
      </left>
      <right style="thin">
        <color indexed="12"/>
      </right>
      <top style="hair">
        <color indexed="12"/>
      </top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12"/>
      </left>
      <right style="thin">
        <color indexed="12"/>
      </right>
      <top/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</borders>
  <cellStyleXfs count="16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5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9">
    <xf numFmtId="0" fontId="0" fillId="0" borderId="0" xfId="0"/>
    <xf numFmtId="164" fontId="5" fillId="0" borderId="0" xfId="13" applyNumberFormat="1" applyFont="1" applyFill="1" applyBorder="1" applyAlignment="1">
      <alignment horizontal="left" vertical="center"/>
    </xf>
    <xf numFmtId="0" fontId="8" fillId="0" borderId="1" xfId="13" applyNumberFormat="1" applyFont="1" applyBorder="1" applyAlignment="1">
      <alignment horizontal="centerContinuous" vertical="center"/>
    </xf>
    <xf numFmtId="166" fontId="8" fillId="0" borderId="2" xfId="13" applyNumberFormat="1" applyFont="1" applyBorder="1" applyAlignment="1">
      <alignment horizontal="right" vertical="center"/>
    </xf>
    <xf numFmtId="166" fontId="8" fillId="0" borderId="3" xfId="13" applyNumberFormat="1" applyFont="1" applyBorder="1" applyAlignment="1">
      <alignment horizontal="right" vertical="center"/>
    </xf>
    <xf numFmtId="0" fontId="8" fillId="0" borderId="0" xfId="13" applyNumberFormat="1" applyFont="1" applyBorder="1" applyAlignment="1">
      <alignment horizontal="centerContinuous" vertical="center"/>
    </xf>
    <xf numFmtId="0" fontId="8" fillId="0" borderId="4" xfId="13" applyNumberFormat="1" applyFont="1" applyBorder="1" applyAlignment="1">
      <alignment horizontal="center" vertical="center"/>
    </xf>
    <xf numFmtId="164" fontId="8" fillId="0" borderId="0" xfId="13" applyNumberFormat="1" applyFont="1" applyBorder="1" applyAlignment="1">
      <alignment horizontal="center" vertical="center"/>
    </xf>
    <xf numFmtId="0" fontId="8" fillId="0" borderId="2" xfId="13" applyNumberFormat="1" applyFont="1" applyBorder="1" applyAlignment="1">
      <alignment horizontal="center" vertical="center"/>
    </xf>
    <xf numFmtId="164" fontId="8" fillId="0" borderId="4" xfId="13" applyNumberFormat="1" applyFont="1" applyBorder="1" applyAlignment="1">
      <alignment horizontal="center" vertical="center" wrapText="1"/>
    </xf>
    <xf numFmtId="164" fontId="8" fillId="0" borderId="0" xfId="13" applyNumberFormat="1" applyFont="1" applyBorder="1" applyAlignment="1">
      <alignment horizontal="center" vertical="center" wrapText="1"/>
    </xf>
    <xf numFmtId="0" fontId="8" fillId="0" borderId="5" xfId="13" applyNumberFormat="1" applyFont="1" applyBorder="1" applyAlignment="1">
      <alignment horizontal="center" vertical="center"/>
    </xf>
    <xf numFmtId="164" fontId="8" fillId="0" borderId="5" xfId="13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5" fillId="0" borderId="0" xfId="0" applyFont="1"/>
    <xf numFmtId="165" fontId="8" fillId="0" borderId="6" xfId="13" applyNumberFormat="1" applyFont="1" applyBorder="1" applyAlignment="1">
      <alignment horizontal="left" vertical="center" wrapText="1"/>
    </xf>
    <xf numFmtId="165" fontId="14" fillId="0" borderId="7" xfId="13" applyNumberFormat="1" applyFont="1" applyBorder="1" applyAlignment="1">
      <alignment horizontal="left" vertical="center"/>
    </xf>
    <xf numFmtId="165" fontId="14" fillId="0" borderId="7" xfId="13" applyNumberFormat="1" applyFont="1" applyBorder="1" applyAlignment="1">
      <alignment horizontal="left" vertical="center" wrapText="1"/>
    </xf>
    <xf numFmtId="0" fontId="8" fillId="0" borderId="8" xfId="13" applyNumberFormat="1" applyFont="1" applyBorder="1" applyAlignment="1">
      <alignment horizontal="center" vertical="top"/>
    </xf>
    <xf numFmtId="0" fontId="8" fillId="0" borderId="9" xfId="13" applyNumberFormat="1" applyFont="1" applyBorder="1" applyAlignment="1">
      <alignment horizontal="center" vertical="top"/>
    </xf>
    <xf numFmtId="166" fontId="8" fillId="0" borderId="2" xfId="13" quotePrefix="1" applyNumberFormat="1" applyFont="1" applyBorder="1" applyAlignment="1">
      <alignment horizontal="right" vertical="center"/>
    </xf>
    <xf numFmtId="166" fontId="8" fillId="0" borderId="2" xfId="5" quotePrefix="1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3" xfId="13" quotePrefix="1" applyNumberFormat="1" applyFont="1" applyBorder="1" applyAlignment="1">
      <alignment horizontal="right" vertical="center"/>
    </xf>
    <xf numFmtId="0" fontId="8" fillId="0" borderId="2" xfId="13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65" fontId="8" fillId="0" borderId="2" xfId="13" applyNumberFormat="1" applyFont="1" applyBorder="1" applyAlignment="1">
      <alignment horizontal="center" vertical="center"/>
    </xf>
    <xf numFmtId="166" fontId="8" fillId="0" borderId="2" xfId="13" applyNumberFormat="1" applyFont="1" applyBorder="1" applyAlignment="1">
      <alignment vertical="center"/>
    </xf>
    <xf numFmtId="165" fontId="8" fillId="0" borderId="3" xfId="13" applyNumberFormat="1" applyFont="1" applyBorder="1" applyAlignment="1">
      <alignment horizontal="center" vertical="center"/>
    </xf>
    <xf numFmtId="166" fontId="8" fillId="0" borderId="3" xfId="1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166" fontId="8" fillId="0" borderId="2" xfId="5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5" fontId="8" fillId="0" borderId="13" xfId="13" applyNumberFormat="1" applyFont="1" applyBorder="1" applyAlignment="1">
      <alignment vertical="center" wrapText="1"/>
    </xf>
    <xf numFmtId="165" fontId="14" fillId="0" borderId="7" xfId="13" applyNumberFormat="1" applyFont="1" applyBorder="1" applyAlignment="1">
      <alignment vertical="center"/>
    </xf>
    <xf numFmtId="165" fontId="8" fillId="0" borderId="6" xfId="13" applyNumberFormat="1" applyFont="1" applyBorder="1" applyAlignment="1">
      <alignment vertical="center" wrapText="1"/>
    </xf>
    <xf numFmtId="165" fontId="8" fillId="0" borderId="6" xfId="13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3" fontId="4" fillId="2" borderId="0" xfId="3" applyFont="1" applyFill="1" applyAlignment="1">
      <alignment horizontal="center" wrapText="1"/>
    </xf>
    <xf numFmtId="43" fontId="4" fillId="3" borderId="0" xfId="3" applyFont="1" applyFill="1" applyAlignment="1">
      <alignment horizontal="center" wrapText="1"/>
    </xf>
    <xf numFmtId="43" fontId="4" fillId="0" borderId="0" xfId="3" applyFont="1"/>
    <xf numFmtId="43" fontId="4" fillId="0" borderId="0" xfId="0" applyNumberFormat="1" applyFont="1"/>
    <xf numFmtId="165" fontId="14" fillId="0" borderId="14" xfId="13" applyNumberFormat="1" applyFont="1" applyBorder="1" applyAlignment="1">
      <alignment vertical="center"/>
    </xf>
    <xf numFmtId="165" fontId="8" fillId="0" borderId="15" xfId="13" applyNumberFormat="1" applyFont="1" applyBorder="1" applyAlignment="1">
      <alignment vertical="center" wrapText="1"/>
    </xf>
    <xf numFmtId="166" fontId="12" fillId="0" borderId="16" xfId="13" applyNumberFormat="1" applyFont="1" applyBorder="1" applyAlignment="1">
      <alignment horizontal="right" vertical="center"/>
    </xf>
    <xf numFmtId="165" fontId="11" fillId="0" borderId="2" xfId="13" applyNumberFormat="1" applyFont="1" applyBorder="1" applyAlignment="1">
      <alignment horizontal="center" vertical="center"/>
    </xf>
    <xf numFmtId="0" fontId="4" fillId="0" borderId="3" xfId="13" applyNumberFormat="1" applyFont="1" applyBorder="1" applyAlignment="1">
      <alignment horizontal="center" vertical="center"/>
    </xf>
    <xf numFmtId="165" fontId="4" fillId="0" borderId="2" xfId="13" applyNumberFormat="1" applyFont="1" applyBorder="1" applyAlignment="1">
      <alignment horizontal="center" vertical="center"/>
    </xf>
    <xf numFmtId="0" fontId="11" fillId="0" borderId="3" xfId="13" applyNumberFormat="1" applyFont="1" applyBorder="1" applyAlignment="1">
      <alignment horizontal="center" vertical="center"/>
    </xf>
    <xf numFmtId="0" fontId="11" fillId="4" borderId="5" xfId="13" applyNumberFormat="1" applyFont="1" applyFill="1" applyBorder="1" applyAlignment="1">
      <alignment horizontal="center" vertical="center"/>
    </xf>
    <xf numFmtId="169" fontId="19" fillId="5" borderId="17" xfId="13" applyNumberFormat="1" applyFont="1" applyFill="1" applyBorder="1" applyAlignment="1">
      <alignment vertical="center"/>
    </xf>
    <xf numFmtId="169" fontId="19" fillId="5" borderId="11" xfId="13" applyNumberFormat="1" applyFont="1" applyFill="1" applyBorder="1" applyAlignment="1">
      <alignment vertical="center"/>
    </xf>
    <xf numFmtId="169" fontId="19" fillId="5" borderId="2" xfId="13" quotePrefix="1" applyNumberFormat="1" applyFont="1" applyFill="1" applyBorder="1" applyAlignment="1">
      <alignment horizontal="right" vertical="center"/>
    </xf>
    <xf numFmtId="169" fontId="19" fillId="5" borderId="5" xfId="13" quotePrefix="1" applyNumberFormat="1" applyFont="1" applyFill="1" applyBorder="1" applyAlignment="1">
      <alignment horizontal="right" vertical="center"/>
    </xf>
    <xf numFmtId="4" fontId="22" fillId="0" borderId="18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167" fontId="8" fillId="0" borderId="20" xfId="0" applyNumberFormat="1" applyFont="1" applyBorder="1" applyAlignment="1">
      <alignment vertical="center"/>
    </xf>
    <xf numFmtId="167" fontId="8" fillId="0" borderId="21" xfId="0" applyNumberFormat="1" applyFont="1" applyBorder="1" applyAlignment="1">
      <alignment vertical="center"/>
    </xf>
    <xf numFmtId="167" fontId="4" fillId="0" borderId="0" xfId="0" applyNumberFormat="1" applyFont="1" applyAlignment="1">
      <alignment vertical="center"/>
    </xf>
    <xf numFmtId="167" fontId="4" fillId="0" borderId="0" xfId="13" applyNumberFormat="1" applyFont="1" applyBorder="1" applyAlignment="1">
      <alignment horizontal="right" vertical="center"/>
    </xf>
    <xf numFmtId="167" fontId="4" fillId="0" borderId="2" xfId="13" applyNumberFormat="1" applyFont="1" applyBorder="1" applyAlignment="1">
      <alignment vertical="center"/>
    </xf>
    <xf numFmtId="167" fontId="4" fillId="0" borderId="17" xfId="13" applyNumberFormat="1" applyFont="1" applyBorder="1" applyAlignment="1">
      <alignment horizontal="right" vertical="center"/>
    </xf>
    <xf numFmtId="167" fontId="4" fillId="0" borderId="2" xfId="13" quotePrefix="1" applyNumberFormat="1" applyFont="1" applyBorder="1" applyAlignment="1">
      <alignment horizontal="right" vertical="center"/>
    </xf>
    <xf numFmtId="167" fontId="4" fillId="0" borderId="2" xfId="13" applyNumberFormat="1" applyFont="1" applyBorder="1" applyAlignment="1">
      <alignment horizontal="right" vertical="center"/>
    </xf>
    <xf numFmtId="167" fontId="8" fillId="0" borderId="22" xfId="13" quotePrefix="1" applyNumberFormat="1" applyFont="1" applyBorder="1" applyAlignment="1">
      <alignment horizontal="right" vertical="center"/>
    </xf>
    <xf numFmtId="167" fontId="8" fillId="0" borderId="23" xfId="13" quotePrefix="1" applyNumberFormat="1" applyFont="1" applyBorder="1" applyAlignment="1">
      <alignment horizontal="right" vertical="center"/>
    </xf>
    <xf numFmtId="167" fontId="4" fillId="0" borderId="24" xfId="0" applyNumberFormat="1" applyFont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166" fontId="12" fillId="10" borderId="5" xfId="0" applyNumberFormat="1" applyFont="1" applyFill="1" applyBorder="1" applyAlignment="1">
      <alignment horizontal="center" vertical="center"/>
    </xf>
    <xf numFmtId="0" fontId="4" fillId="0" borderId="11" xfId="13" applyNumberFormat="1" applyFont="1" applyBorder="1" applyAlignment="1">
      <alignment horizontal="center" vertical="center"/>
    </xf>
    <xf numFmtId="170" fontId="17" fillId="11" borderId="25" xfId="13" applyNumberFormat="1" applyFont="1" applyFill="1" applyBorder="1" applyAlignment="1">
      <alignment horizontal="right" vertical="center"/>
    </xf>
    <xf numFmtId="2" fontId="37" fillId="0" borderId="26" xfId="0" applyNumberFormat="1" applyFont="1" applyBorder="1" applyAlignment="1">
      <alignment horizontal="center"/>
    </xf>
    <xf numFmtId="2" fontId="37" fillId="0" borderId="19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0" fontId="4" fillId="0" borderId="28" xfId="0" applyFont="1" applyBorder="1"/>
    <xf numFmtId="166" fontId="19" fillId="10" borderId="2" xfId="13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2" fontId="17" fillId="0" borderId="30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67" fontId="8" fillId="6" borderId="10" xfId="13" applyNumberFormat="1" applyFont="1" applyFill="1" applyBorder="1" applyAlignment="1">
      <alignment horizontal="right" vertical="center"/>
    </xf>
    <xf numFmtId="167" fontId="8" fillId="0" borderId="11" xfId="0" applyNumberFormat="1" applyFont="1" applyBorder="1" applyAlignment="1">
      <alignment vertical="center"/>
    </xf>
    <xf numFmtId="166" fontId="8" fillId="0" borderId="32" xfId="0" applyNumberFormat="1" applyFont="1" applyBorder="1" applyAlignment="1">
      <alignment vertical="center"/>
    </xf>
    <xf numFmtId="167" fontId="8" fillId="0" borderId="33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2" fontId="17" fillId="0" borderId="9" xfId="0" quotePrefix="1" applyNumberFormat="1" applyFont="1" applyBorder="1" applyAlignment="1">
      <alignment horizontal="center" vertical="center"/>
    </xf>
    <xf numFmtId="167" fontId="8" fillId="6" borderId="24" xfId="13" applyNumberFormat="1" applyFont="1" applyFill="1" applyBorder="1" applyAlignment="1">
      <alignment horizontal="right" vertical="center"/>
    </xf>
    <xf numFmtId="49" fontId="4" fillId="6" borderId="34" xfId="13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166" fontId="22" fillId="12" borderId="6" xfId="13" applyNumberFormat="1" applyFont="1" applyFill="1" applyBorder="1" applyAlignment="1">
      <alignment horizontal="right" vertical="center"/>
    </xf>
    <xf numFmtId="167" fontId="10" fillId="13" borderId="36" xfId="0" applyNumberFormat="1" applyFont="1" applyFill="1" applyBorder="1" applyAlignment="1">
      <alignment vertical="center"/>
    </xf>
    <xf numFmtId="167" fontId="8" fillId="13" borderId="37" xfId="0" applyNumberFormat="1" applyFont="1" applyFill="1" applyBorder="1" applyAlignment="1">
      <alignment vertical="center"/>
    </xf>
    <xf numFmtId="167" fontId="10" fillId="13" borderId="37" xfId="0" applyNumberFormat="1" applyFont="1" applyFill="1" applyBorder="1" applyAlignment="1">
      <alignment vertical="center"/>
    </xf>
    <xf numFmtId="167" fontId="8" fillId="0" borderId="36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64" fontId="4" fillId="0" borderId="39" xfId="13" applyNumberFormat="1" applyFont="1" applyBorder="1" applyAlignment="1">
      <alignment horizontal="center" vertical="center"/>
    </xf>
    <xf numFmtId="164" fontId="4" fillId="0" borderId="39" xfId="13" applyNumberFormat="1" applyFont="1" applyBorder="1" applyAlignment="1">
      <alignment vertical="center"/>
    </xf>
    <xf numFmtId="0" fontId="4" fillId="0" borderId="29" xfId="13" applyFont="1" applyBorder="1" applyAlignment="1">
      <alignment vertical="center"/>
    </xf>
    <xf numFmtId="165" fontId="14" fillId="0" borderId="40" xfId="13" applyNumberFormat="1" applyFont="1" applyBorder="1" applyAlignment="1">
      <alignment horizontal="left" vertical="center"/>
    </xf>
    <xf numFmtId="165" fontId="14" fillId="0" borderId="0" xfId="13" applyNumberFormat="1" applyFont="1" applyBorder="1" applyAlignment="1">
      <alignment horizontal="left" vertical="center"/>
    </xf>
    <xf numFmtId="166" fontId="22" fillId="12" borderId="41" xfId="13" applyNumberFormat="1" applyFont="1" applyFill="1" applyBorder="1" applyAlignment="1">
      <alignment horizontal="right" vertical="center"/>
    </xf>
    <xf numFmtId="167" fontId="10" fillId="0" borderId="42" xfId="13" quotePrefix="1" applyNumberFormat="1" applyFont="1" applyBorder="1" applyAlignment="1">
      <alignment horizontal="right" vertical="center"/>
    </xf>
    <xf numFmtId="167" fontId="8" fillId="0" borderId="7" xfId="13" applyNumberFormat="1" applyFont="1" applyBorder="1" applyAlignment="1">
      <alignment horizontal="right" vertical="center"/>
    </xf>
    <xf numFmtId="167" fontId="10" fillId="0" borderId="43" xfId="13" quotePrefix="1" applyNumberFormat="1" applyFont="1" applyBorder="1" applyAlignment="1">
      <alignment horizontal="right" vertical="center"/>
    </xf>
    <xf numFmtId="165" fontId="14" fillId="0" borderId="40" xfId="13" applyNumberFormat="1" applyFont="1" applyBorder="1" applyAlignment="1">
      <alignment horizontal="left" vertical="center" wrapText="1"/>
    </xf>
    <xf numFmtId="167" fontId="10" fillId="0" borderId="16" xfId="13" quotePrefix="1" applyNumberFormat="1" applyFont="1" applyBorder="1" applyAlignment="1">
      <alignment horizontal="right" vertical="center"/>
    </xf>
    <xf numFmtId="165" fontId="14" fillId="0" borderId="123" xfId="13" applyNumberFormat="1" applyFont="1" applyBorder="1" applyAlignment="1">
      <alignment horizontal="left" vertical="center" wrapText="1"/>
    </xf>
    <xf numFmtId="167" fontId="8" fillId="0" borderId="124" xfId="13" applyNumberFormat="1" applyFont="1" applyBorder="1" applyAlignment="1">
      <alignment horizontal="right" vertical="center"/>
    </xf>
    <xf numFmtId="167" fontId="8" fillId="0" borderId="125" xfId="13" quotePrefix="1" applyNumberFormat="1" applyFont="1" applyBorder="1" applyAlignment="1">
      <alignment horizontal="right" vertical="center"/>
    </xf>
    <xf numFmtId="167" fontId="8" fillId="0" borderId="126" xfId="13" quotePrefix="1" applyNumberFormat="1" applyFont="1" applyBorder="1" applyAlignment="1">
      <alignment horizontal="right" vertical="center"/>
    </xf>
    <xf numFmtId="166" fontId="22" fillId="12" borderId="127" xfId="13" applyNumberFormat="1" applyFont="1" applyFill="1" applyBorder="1" applyAlignment="1">
      <alignment horizontal="right" vertical="center"/>
    </xf>
    <xf numFmtId="166" fontId="22" fillId="12" borderId="128" xfId="13" applyNumberFormat="1" applyFont="1" applyFill="1" applyBorder="1" applyAlignment="1">
      <alignment horizontal="right" vertical="center"/>
    </xf>
    <xf numFmtId="167" fontId="10" fillId="0" borderId="129" xfId="13" quotePrefix="1" applyNumberFormat="1" applyFont="1" applyBorder="1" applyAlignment="1">
      <alignment horizontal="right" vertical="center"/>
    </xf>
    <xf numFmtId="167" fontId="10" fillId="0" borderId="130" xfId="13" quotePrefix="1" applyNumberFormat="1" applyFont="1" applyBorder="1" applyAlignment="1">
      <alignment horizontal="right" vertical="center"/>
    </xf>
    <xf numFmtId="165" fontId="4" fillId="11" borderId="131" xfId="13" applyNumberFormat="1" applyFont="1" applyFill="1" applyBorder="1" applyAlignment="1">
      <alignment horizontal="center" vertical="center" wrapText="1"/>
    </xf>
    <xf numFmtId="0" fontId="38" fillId="0" borderId="49" xfId="0" applyFont="1" applyBorder="1"/>
    <xf numFmtId="167" fontId="10" fillId="0" borderId="23" xfId="13" applyNumberFormat="1" applyFont="1" applyBorder="1" applyAlignment="1">
      <alignment horizontal="right" vertical="center"/>
    </xf>
    <xf numFmtId="167" fontId="8" fillId="13" borderId="50" xfId="0" applyNumberFormat="1" applyFont="1" applyFill="1" applyBorder="1" applyAlignment="1">
      <alignment vertical="center"/>
    </xf>
    <xf numFmtId="167" fontId="10" fillId="13" borderId="20" xfId="0" applyNumberFormat="1" applyFont="1" applyFill="1" applyBorder="1" applyAlignment="1">
      <alignment vertical="center"/>
    </xf>
    <xf numFmtId="43" fontId="14" fillId="0" borderId="0" xfId="3" applyFont="1"/>
    <xf numFmtId="171" fontId="4" fillId="0" borderId="0" xfId="3" applyNumberFormat="1" applyFont="1" applyAlignment="1"/>
    <xf numFmtId="167" fontId="11" fillId="0" borderId="2" xfId="13" applyNumberFormat="1" applyFont="1" applyBorder="1" applyAlignment="1">
      <alignment horizontal="right" vertical="center"/>
    </xf>
    <xf numFmtId="167" fontId="11" fillId="0" borderId="2" xfId="13" quotePrefix="1" applyNumberFormat="1" applyFont="1" applyBorder="1" applyAlignment="1">
      <alignment horizontal="right" vertical="center"/>
    </xf>
    <xf numFmtId="167" fontId="11" fillId="0" borderId="10" xfId="0" applyNumberFormat="1" applyFont="1" applyBorder="1" applyAlignment="1">
      <alignment vertical="center"/>
    </xf>
    <xf numFmtId="167" fontId="11" fillId="0" borderId="2" xfId="13" applyNumberFormat="1" applyFont="1" applyBorder="1" applyAlignment="1">
      <alignment vertical="center"/>
    </xf>
    <xf numFmtId="167" fontId="12" fillId="0" borderId="5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>
      <alignment horizontal="right" vertical="center"/>
    </xf>
    <xf numFmtId="167" fontId="12" fillId="0" borderId="11" xfId="0" applyNumberFormat="1" applyFont="1" applyBorder="1" applyAlignment="1">
      <alignment horizontal="right" vertical="center"/>
    </xf>
    <xf numFmtId="167" fontId="4" fillId="0" borderId="51" xfId="0" applyNumberFormat="1" applyFont="1" applyBorder="1"/>
    <xf numFmtId="167" fontId="4" fillId="0" borderId="52" xfId="0" applyNumberFormat="1" applyFont="1" applyBorder="1"/>
    <xf numFmtId="167" fontId="4" fillId="0" borderId="53" xfId="0" applyNumberFormat="1" applyFont="1" applyBorder="1"/>
    <xf numFmtId="0" fontId="11" fillId="0" borderId="5" xfId="13" applyNumberFormat="1" applyFont="1" applyBorder="1" applyAlignment="1">
      <alignment horizontal="center" vertical="center"/>
    </xf>
    <xf numFmtId="167" fontId="11" fillId="0" borderId="54" xfId="13" applyNumberFormat="1" applyFont="1" applyBorder="1" applyAlignment="1">
      <alignment horizontal="right" vertical="center"/>
    </xf>
    <xf numFmtId="167" fontId="11" fillId="0" borderId="55" xfId="13" applyNumberFormat="1" applyFont="1" applyBorder="1" applyAlignment="1">
      <alignment horizontal="center" vertical="center"/>
    </xf>
    <xf numFmtId="3" fontId="11" fillId="0" borderId="55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19" fillId="5" borderId="5" xfId="13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166" fontId="22" fillId="13" borderId="36" xfId="14" applyNumberFormat="1" applyFont="1" applyFill="1" applyBorder="1" applyAlignment="1">
      <alignment horizontal="right" vertical="center"/>
    </xf>
    <xf numFmtId="166" fontId="22" fillId="13" borderId="20" xfId="14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quotePrefix="1" applyFont="1" applyAlignment="1">
      <alignment vertical="center"/>
    </xf>
    <xf numFmtId="0" fontId="27" fillId="0" borderId="0" xfId="0" quotePrefix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0" fillId="0" borderId="0" xfId="0" applyFont="1"/>
    <xf numFmtId="0" fontId="41" fillId="0" borderId="132" xfId="0" applyFont="1" applyBorder="1" applyAlignment="1">
      <alignment vertical="top" wrapText="1"/>
    </xf>
    <xf numFmtId="0" fontId="41" fillId="0" borderId="133" xfId="0" applyFont="1" applyBorder="1" applyAlignment="1">
      <alignment horizontal="center" vertical="top" wrapText="1"/>
    </xf>
    <xf numFmtId="0" fontId="42" fillId="0" borderId="132" xfId="0" applyFont="1" applyBorder="1" applyAlignment="1">
      <alignment vertical="top" wrapText="1"/>
    </xf>
    <xf numFmtId="0" fontId="43" fillId="0" borderId="134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57" xfId="0" applyFont="1" applyBorder="1" applyAlignment="1">
      <alignment horizontal="center" vertical="top" wrapText="1"/>
    </xf>
    <xf numFmtId="0" fontId="44" fillId="0" borderId="58" xfId="0" applyFont="1" applyBorder="1" applyAlignment="1">
      <alignment horizontal="center" vertical="top" wrapText="1"/>
    </xf>
    <xf numFmtId="0" fontId="44" fillId="0" borderId="135" xfId="0" applyFont="1" applyBorder="1" applyAlignment="1">
      <alignment horizontal="center" vertical="top" wrapText="1"/>
    </xf>
    <xf numFmtId="0" fontId="41" fillId="0" borderId="134" xfId="0" applyFont="1" applyBorder="1" applyAlignment="1">
      <alignment horizontal="center" vertical="top" wrapText="1"/>
    </xf>
    <xf numFmtId="0" fontId="45" fillId="14" borderId="136" xfId="0" applyFont="1" applyFill="1" applyBorder="1" applyAlignment="1">
      <alignment vertical="center" wrapText="1"/>
    </xf>
    <xf numFmtId="0" fontId="45" fillId="14" borderId="137" xfId="0" applyFont="1" applyFill="1" applyBorder="1" applyAlignment="1">
      <alignment horizontal="center" vertical="center" wrapText="1"/>
    </xf>
    <xf numFmtId="0" fontId="45" fillId="14" borderId="138" xfId="0" applyFont="1" applyFill="1" applyBorder="1" applyAlignment="1">
      <alignment horizontal="center" vertical="center" wrapText="1"/>
    </xf>
    <xf numFmtId="0" fontId="45" fillId="14" borderId="139" xfId="0" applyFont="1" applyFill="1" applyBorder="1" applyAlignment="1">
      <alignment horizontal="center" vertical="center" wrapText="1"/>
    </xf>
    <xf numFmtId="0" fontId="45" fillId="14" borderId="140" xfId="0" applyFont="1" applyFill="1" applyBorder="1" applyAlignment="1">
      <alignment horizontal="center" vertical="center" wrapText="1"/>
    </xf>
    <xf numFmtId="0" fontId="45" fillId="14" borderId="136" xfId="0" applyFont="1" applyFill="1" applyBorder="1" applyAlignment="1">
      <alignment horizontal="justify" vertical="center" wrapText="1"/>
    </xf>
    <xf numFmtId="0" fontId="45" fillId="0" borderId="136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140" xfId="0" applyFont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45" fillId="14" borderId="57" xfId="0" applyFont="1" applyFill="1" applyBorder="1" applyAlignment="1">
      <alignment horizontal="center" vertical="center" wrapText="1"/>
    </xf>
    <xf numFmtId="0" fontId="45" fillId="14" borderId="58" xfId="0" applyFont="1" applyFill="1" applyBorder="1" applyAlignment="1">
      <alignment horizontal="center" vertical="center" wrapText="1"/>
    </xf>
    <xf numFmtId="0" fontId="45" fillId="0" borderId="141" xfId="0" applyFont="1" applyBorder="1" applyAlignment="1">
      <alignment horizontal="center" vertical="center" wrapText="1"/>
    </xf>
    <xf numFmtId="0" fontId="45" fillId="0" borderId="142" xfId="0" applyFont="1" applyBorder="1" applyAlignment="1">
      <alignment horizontal="center" vertical="center" wrapText="1"/>
    </xf>
    <xf numFmtId="0" fontId="45" fillId="0" borderId="136" xfId="0" applyFont="1" applyBorder="1" applyAlignment="1">
      <alignment horizontal="center" vertical="center" wrapText="1"/>
    </xf>
    <xf numFmtId="0" fontId="45" fillId="0" borderId="136" xfId="0" applyFont="1" applyBorder="1" applyAlignment="1">
      <alignment horizontal="justify" vertical="center" wrapText="1"/>
    </xf>
    <xf numFmtId="0" fontId="45" fillId="0" borderId="134" xfId="0" applyFont="1" applyBorder="1" applyAlignment="1">
      <alignment vertical="center" wrapText="1"/>
    </xf>
    <xf numFmtId="0" fontId="45" fillId="0" borderId="131" xfId="0" applyFont="1" applyBorder="1" applyAlignment="1">
      <alignment horizontal="center" vertical="center" wrapText="1"/>
    </xf>
    <xf numFmtId="0" fontId="45" fillId="0" borderId="143" xfId="0" applyFont="1" applyBorder="1" applyAlignment="1">
      <alignment horizontal="center" vertical="center" wrapText="1"/>
    </xf>
    <xf numFmtId="0" fontId="45" fillId="0" borderId="144" xfId="0" applyFont="1" applyBorder="1" applyAlignment="1">
      <alignment horizontal="center" vertical="center" wrapText="1"/>
    </xf>
    <xf numFmtId="0" fontId="45" fillId="0" borderId="145" xfId="0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45" fillId="0" borderId="0" xfId="0" applyFont="1"/>
    <xf numFmtId="0" fontId="45" fillId="0" borderId="0" xfId="0" applyFont="1" applyAlignment="1">
      <alignment horizontal="right"/>
    </xf>
    <xf numFmtId="0" fontId="1" fillId="0" borderId="0" xfId="0" applyFont="1"/>
    <xf numFmtId="0" fontId="30" fillId="0" borderId="0" xfId="0" applyFont="1"/>
    <xf numFmtId="167" fontId="4" fillId="0" borderId="32" xfId="0" applyNumberFormat="1" applyFont="1" applyBorder="1" applyAlignment="1">
      <alignment vertical="center"/>
    </xf>
    <xf numFmtId="169" fontId="19" fillId="5" borderId="2" xfId="13" applyNumberFormat="1" applyFont="1" applyFill="1" applyBorder="1" applyAlignment="1">
      <alignment vertical="center"/>
    </xf>
    <xf numFmtId="167" fontId="4" fillId="0" borderId="60" xfId="13" applyNumberFormat="1" applyFont="1" applyBorder="1" applyAlignment="1">
      <alignment horizontal="right" vertical="center"/>
    </xf>
    <xf numFmtId="167" fontId="14" fillId="0" borderId="11" xfId="0" applyNumberFormat="1" applyFont="1" applyBorder="1" applyAlignment="1">
      <alignment horizontal="right" vertical="center"/>
    </xf>
    <xf numFmtId="166" fontId="19" fillId="15" borderId="47" xfId="13" applyNumberFormat="1" applyFont="1" applyFill="1" applyBorder="1" applyAlignment="1">
      <alignment horizontal="right" vertical="center"/>
    </xf>
    <xf numFmtId="166" fontId="19" fillId="15" borderId="6" xfId="13" quotePrefix="1" applyNumberFormat="1" applyFont="1" applyFill="1" applyBorder="1" applyAlignment="1">
      <alignment horizontal="right" vertical="center"/>
    </xf>
    <xf numFmtId="166" fontId="19" fillId="15" borderId="61" xfId="13" quotePrefix="1" applyNumberFormat="1" applyFont="1" applyFill="1" applyBorder="1" applyAlignment="1">
      <alignment horizontal="right" vertical="center"/>
    </xf>
    <xf numFmtId="167" fontId="11" fillId="0" borderId="62" xfId="13" applyNumberFormat="1" applyFont="1" applyBorder="1" applyAlignment="1">
      <alignment horizontal="right" vertical="center"/>
    </xf>
    <xf numFmtId="167" fontId="11" fillId="0" borderId="54" xfId="13" quotePrefix="1" applyNumberFormat="1" applyFont="1" applyBorder="1" applyAlignment="1">
      <alignment horizontal="right" vertical="center"/>
    </xf>
    <xf numFmtId="165" fontId="14" fillId="16" borderId="123" xfId="13" applyNumberFormat="1" applyFont="1" applyFill="1" applyBorder="1" applyAlignment="1">
      <alignment horizontal="left" vertical="center" wrapText="1"/>
    </xf>
    <xf numFmtId="165" fontId="14" fillId="16" borderId="40" xfId="13" applyNumberFormat="1" applyFont="1" applyFill="1" applyBorder="1" applyAlignment="1">
      <alignment horizontal="left" vertical="center" wrapText="1"/>
    </xf>
    <xf numFmtId="165" fontId="14" fillId="16" borderId="0" xfId="13" applyNumberFormat="1" applyFont="1" applyFill="1" applyBorder="1" applyAlignment="1">
      <alignment horizontal="left" vertical="center"/>
    </xf>
    <xf numFmtId="165" fontId="14" fillId="16" borderId="40" xfId="13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72" fontId="4" fillId="0" borderId="0" xfId="0" applyNumberFormat="1" applyFont="1"/>
    <xf numFmtId="0" fontId="14" fillId="0" borderId="0" xfId="0" applyFont="1" applyAlignment="1">
      <alignment horizontal="center" wrapText="1"/>
    </xf>
    <xf numFmtId="43" fontId="14" fillId="0" borderId="0" xfId="3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165" fontId="8" fillId="13" borderId="6" xfId="13" applyNumberFormat="1" applyFont="1" applyFill="1" applyBorder="1" applyAlignment="1">
      <alignment vertical="center" wrapText="1"/>
    </xf>
    <xf numFmtId="167" fontId="13" fillId="7" borderId="63" xfId="13" applyNumberFormat="1" applyFont="1" applyFill="1" applyBorder="1" applyAlignment="1">
      <alignment horizontal="right" vertical="center"/>
    </xf>
    <xf numFmtId="167" fontId="13" fillId="7" borderId="64" xfId="13" applyNumberFormat="1" applyFont="1" applyFill="1" applyBorder="1" applyAlignment="1">
      <alignment horizontal="right" vertical="center"/>
    </xf>
    <xf numFmtId="167" fontId="13" fillId="0" borderId="65" xfId="13" applyNumberFormat="1" applyFont="1" applyBorder="1" applyAlignment="1">
      <alignment horizontal="right"/>
    </xf>
    <xf numFmtId="167" fontId="13" fillId="0" borderId="64" xfId="13" applyNumberFormat="1" applyFont="1" applyBorder="1" applyAlignment="1">
      <alignment horizontal="right"/>
    </xf>
    <xf numFmtId="2" fontId="22" fillId="13" borderId="38" xfId="14" applyNumberFormat="1" applyFont="1" applyFill="1" applyBorder="1" applyAlignment="1">
      <alignment vertical="center"/>
    </xf>
    <xf numFmtId="2" fontId="22" fillId="13" borderId="39" xfId="14" applyNumberFormat="1" applyFont="1" applyFill="1" applyBorder="1" applyAlignment="1">
      <alignment vertical="center"/>
    </xf>
    <xf numFmtId="2" fontId="21" fillId="13" borderId="21" xfId="14" applyNumberFormat="1" applyFont="1" applyFill="1" applyBorder="1" applyAlignment="1">
      <alignment vertical="center"/>
    </xf>
    <xf numFmtId="166" fontId="22" fillId="13" borderId="39" xfId="14" applyNumberFormat="1" applyFont="1" applyFill="1" applyBorder="1" applyAlignment="1">
      <alignment horizontal="right" vertical="center"/>
    </xf>
    <xf numFmtId="4" fontId="22" fillId="0" borderId="66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167" fontId="8" fillId="13" borderId="69" xfId="0" applyNumberFormat="1" applyFont="1" applyFill="1" applyBorder="1" applyAlignment="1">
      <alignment vertical="center"/>
    </xf>
    <xf numFmtId="167" fontId="8" fillId="13" borderId="70" xfId="0" applyNumberFormat="1" applyFont="1" applyFill="1" applyBorder="1" applyAlignment="1">
      <alignment vertical="center"/>
    </xf>
    <xf numFmtId="167" fontId="8" fillId="13" borderId="71" xfId="0" applyNumberFormat="1" applyFont="1" applyFill="1" applyBorder="1" applyAlignment="1">
      <alignment vertical="center"/>
    </xf>
    <xf numFmtId="167" fontId="10" fillId="13" borderId="72" xfId="0" applyNumberFormat="1" applyFont="1" applyFill="1" applyBorder="1" applyAlignment="1">
      <alignment vertical="center"/>
    </xf>
    <xf numFmtId="167" fontId="10" fillId="13" borderId="73" xfId="0" applyNumberFormat="1" applyFont="1" applyFill="1" applyBorder="1" applyAlignment="1">
      <alignment vertical="center"/>
    </xf>
    <xf numFmtId="166" fontId="22" fillId="13" borderId="72" xfId="14" applyNumberFormat="1" applyFont="1" applyFill="1" applyBorder="1" applyAlignment="1">
      <alignment horizontal="right" vertical="center"/>
    </xf>
    <xf numFmtId="167" fontId="8" fillId="0" borderId="72" xfId="0" applyNumberFormat="1" applyFont="1" applyBorder="1" applyAlignment="1">
      <alignment vertical="center"/>
    </xf>
    <xf numFmtId="167" fontId="8" fillId="0" borderId="73" xfId="0" applyNumberFormat="1" applyFont="1" applyBorder="1" applyAlignment="1">
      <alignment vertical="center"/>
    </xf>
    <xf numFmtId="0" fontId="40" fillId="0" borderId="0" xfId="0" applyFont="1" applyFill="1" applyAlignment="1">
      <alignment vertical="center"/>
    </xf>
    <xf numFmtId="3" fontId="11" fillId="0" borderId="74" xfId="0" applyNumberFormat="1" applyFont="1" applyBorder="1" applyAlignment="1">
      <alignment horizontal="right" vertical="center"/>
    </xf>
    <xf numFmtId="3" fontId="11" fillId="0" borderId="75" xfId="0" applyNumberFormat="1" applyFont="1" applyBorder="1" applyAlignment="1">
      <alignment horizontal="right" vertical="center"/>
    </xf>
    <xf numFmtId="3" fontId="11" fillId="0" borderId="76" xfId="0" applyNumberFormat="1" applyFont="1" applyBorder="1" applyAlignment="1">
      <alignment horizontal="right" vertical="center"/>
    </xf>
    <xf numFmtId="3" fontId="11" fillId="0" borderId="77" xfId="0" applyNumberFormat="1" applyFont="1" applyBorder="1" applyAlignment="1">
      <alignment horizontal="right" vertical="center"/>
    </xf>
    <xf numFmtId="166" fontId="23" fillId="17" borderId="78" xfId="13" applyNumberFormat="1" applyFont="1" applyFill="1" applyBorder="1" applyAlignment="1">
      <alignment horizontal="right" vertical="center"/>
    </xf>
    <xf numFmtId="167" fontId="4" fillId="0" borderId="54" xfId="13" applyNumberFormat="1" applyFont="1" applyBorder="1" applyAlignment="1">
      <alignment horizontal="right" vertical="center"/>
    </xf>
    <xf numFmtId="167" fontId="4" fillId="0" borderId="54" xfId="13" quotePrefix="1" applyNumberFormat="1" applyFont="1" applyBorder="1" applyAlignment="1">
      <alignment horizontal="right" vertical="center"/>
    </xf>
    <xf numFmtId="167" fontId="4" fillId="0" borderId="0" xfId="13" quotePrefix="1" applyNumberFormat="1" applyFont="1" applyBorder="1" applyAlignment="1">
      <alignment vertical="center"/>
    </xf>
    <xf numFmtId="167" fontId="4" fillId="0" borderId="0" xfId="0" applyNumberFormat="1" applyFont="1"/>
    <xf numFmtId="3" fontId="11" fillId="0" borderId="8" xfId="13" applyNumberFormat="1" applyFont="1" applyBorder="1" applyAlignment="1">
      <alignment horizontal="center" vertical="center"/>
    </xf>
    <xf numFmtId="167" fontId="8" fillId="0" borderId="7" xfId="13" quotePrefix="1" applyNumberFormat="1" applyFont="1" applyBorder="1" applyAlignment="1">
      <alignment horizontal="right" vertical="center"/>
    </xf>
    <xf numFmtId="167" fontId="10" fillId="0" borderId="46" xfId="13" applyNumberFormat="1" applyFont="1" applyBorder="1" applyAlignment="1">
      <alignment horizontal="right" vertical="center"/>
    </xf>
    <xf numFmtId="166" fontId="22" fillId="12" borderId="47" xfId="13" applyNumberFormat="1" applyFont="1" applyFill="1" applyBorder="1" applyAlignment="1">
      <alignment horizontal="right" vertical="center"/>
    </xf>
    <xf numFmtId="167" fontId="8" fillId="0" borderId="44" xfId="13" quotePrefix="1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0" fontId="45" fillId="13" borderId="137" xfId="0" applyFont="1" applyFill="1" applyBorder="1" applyAlignment="1">
      <alignment horizontal="center" vertical="center" wrapText="1"/>
    </xf>
    <xf numFmtId="0" fontId="0" fillId="18" borderId="0" xfId="0" applyFill="1"/>
    <xf numFmtId="0" fontId="0" fillId="0" borderId="0" xfId="0" applyFill="1"/>
    <xf numFmtId="0" fontId="0" fillId="19" borderId="0" xfId="0" applyFill="1"/>
    <xf numFmtId="0" fontId="0" fillId="20" borderId="0" xfId="0" applyFill="1"/>
    <xf numFmtId="0" fontId="31" fillId="18" borderId="0" xfId="0" applyFont="1" applyFill="1"/>
    <xf numFmtId="0" fontId="31" fillId="19" borderId="0" xfId="0" applyFont="1" applyFill="1"/>
    <xf numFmtId="0" fontId="31" fillId="20" borderId="0" xfId="0" applyFont="1" applyFill="1"/>
    <xf numFmtId="0" fontId="36" fillId="19" borderId="0" xfId="1" applyFill="1" applyAlignment="1" applyProtection="1"/>
    <xf numFmtId="0" fontId="36" fillId="20" borderId="0" xfId="1" applyFill="1" applyAlignment="1" applyProtection="1"/>
    <xf numFmtId="0" fontId="1" fillId="18" borderId="0" xfId="1" applyFont="1" applyFill="1" applyAlignment="1" applyProtection="1"/>
    <xf numFmtId="0" fontId="1" fillId="20" borderId="0" xfId="1" applyFont="1" applyFill="1" applyAlignment="1" applyProtection="1"/>
    <xf numFmtId="0" fontId="48" fillId="0" borderId="0" xfId="0" applyFont="1"/>
    <xf numFmtId="165" fontId="14" fillId="0" borderId="0" xfId="13" applyNumberFormat="1" applyFont="1" applyBorder="1" applyAlignment="1">
      <alignment vertical="center"/>
    </xf>
    <xf numFmtId="165" fontId="14" fillId="0" borderId="0" xfId="13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right"/>
    </xf>
    <xf numFmtId="0" fontId="50" fillId="21" borderId="79" xfId="1" applyFont="1" applyFill="1" applyBorder="1" applyAlignment="1" applyProtection="1">
      <alignment horizontal="center" vertical="center" wrapText="1"/>
    </xf>
    <xf numFmtId="165" fontId="14" fillId="0" borderId="146" xfId="13" applyNumberFormat="1" applyFont="1" applyBorder="1" applyAlignment="1">
      <alignment horizontal="left" vertical="center"/>
    </xf>
    <xf numFmtId="165" fontId="14" fillId="0" borderId="147" xfId="13" applyNumberFormat="1" applyFont="1" applyBorder="1" applyAlignment="1">
      <alignment horizontal="left" vertical="center"/>
    </xf>
    <xf numFmtId="167" fontId="8" fillId="0" borderId="80" xfId="13" applyNumberFormat="1" applyFont="1" applyBorder="1" applyAlignment="1">
      <alignment horizontal="right" vertical="center"/>
    </xf>
    <xf numFmtId="167" fontId="8" fillId="0" borderId="81" xfId="13" quotePrefix="1" applyNumberFormat="1" applyFont="1" applyBorder="1" applyAlignment="1">
      <alignment horizontal="right" vertical="center"/>
    </xf>
    <xf numFmtId="167" fontId="8" fillId="0" borderId="52" xfId="13" quotePrefix="1" applyNumberFormat="1" applyFont="1" applyBorder="1" applyAlignment="1">
      <alignment horizontal="right" vertical="center"/>
    </xf>
    <xf numFmtId="167" fontId="8" fillId="0" borderId="80" xfId="13" quotePrefix="1" applyNumberFormat="1" applyFont="1" applyBorder="1" applyAlignment="1">
      <alignment horizontal="right" vertical="center"/>
    </xf>
    <xf numFmtId="165" fontId="14" fillId="0" borderId="148" xfId="13" applyNumberFormat="1" applyFont="1" applyBorder="1" applyAlignment="1">
      <alignment horizontal="left" vertical="center"/>
    </xf>
    <xf numFmtId="0" fontId="4" fillId="0" borderId="10" xfId="13" applyNumberFormat="1" applyFont="1" applyBorder="1" applyAlignment="1">
      <alignment horizontal="center" vertical="center"/>
    </xf>
    <xf numFmtId="167" fontId="14" fillId="11" borderId="82" xfId="0" applyNumberFormat="1" applyFont="1" applyFill="1" applyBorder="1" applyAlignment="1">
      <alignment horizontal="right" vertical="center"/>
    </xf>
    <xf numFmtId="167" fontId="8" fillId="0" borderId="149" xfId="13" quotePrefix="1" applyNumberFormat="1" applyFont="1" applyBorder="1" applyAlignment="1">
      <alignment horizontal="right" vertical="center"/>
    </xf>
    <xf numFmtId="167" fontId="8" fillId="0" borderId="150" xfId="13" quotePrefix="1" applyNumberFormat="1" applyFont="1" applyBorder="1" applyAlignment="1">
      <alignment horizontal="right" vertical="center"/>
    </xf>
    <xf numFmtId="167" fontId="8" fillId="6" borderId="5" xfId="13" applyNumberFormat="1" applyFont="1" applyFill="1" applyBorder="1" applyAlignment="1">
      <alignment horizontal="right" vertical="center"/>
    </xf>
    <xf numFmtId="166" fontId="22" fillId="13" borderId="2" xfId="14" applyNumberFormat="1" applyFont="1" applyFill="1" applyBorder="1" applyAlignment="1">
      <alignment horizontal="right" vertical="center"/>
    </xf>
    <xf numFmtId="4" fontId="22" fillId="0" borderId="83" xfId="0" applyNumberFormat="1" applyFont="1" applyBorder="1" applyAlignment="1">
      <alignment horizontal="center" vertical="center"/>
    </xf>
    <xf numFmtId="2" fontId="21" fillId="13" borderId="38" xfId="14" applyNumberFormat="1" applyFont="1" applyFill="1" applyBorder="1" applyAlignment="1">
      <alignment vertical="center"/>
    </xf>
    <xf numFmtId="168" fontId="22" fillId="13" borderId="151" xfId="14" applyNumberFormat="1" applyFont="1" applyFill="1" applyBorder="1" applyAlignment="1">
      <alignment vertical="center"/>
    </xf>
    <xf numFmtId="0" fontId="8" fillId="0" borderId="84" xfId="13" applyNumberFormat="1" applyFont="1" applyBorder="1" applyAlignment="1">
      <alignment horizontal="center" vertical="center"/>
    </xf>
    <xf numFmtId="0" fontId="8" fillId="0" borderId="30" xfId="13" applyNumberFormat="1" applyFont="1" applyBorder="1" applyAlignment="1">
      <alignment horizontal="center" vertical="top"/>
    </xf>
    <xf numFmtId="0" fontId="8" fillId="0" borderId="85" xfId="13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18" fillId="11" borderId="152" xfId="13" applyNumberFormat="1" applyFont="1" applyFill="1" applyBorder="1" applyAlignment="1">
      <alignment horizontal="center" vertical="center"/>
    </xf>
    <xf numFmtId="167" fontId="8" fillId="11" borderId="153" xfId="13" applyNumberFormat="1" applyFont="1" applyFill="1" applyBorder="1" applyAlignment="1">
      <alignment horizontal="right" vertical="center"/>
    </xf>
    <xf numFmtId="167" fontId="8" fillId="11" borderId="154" xfId="13" quotePrefix="1" applyNumberFormat="1" applyFont="1" applyFill="1" applyBorder="1" applyAlignment="1">
      <alignment horizontal="right" vertical="center"/>
    </xf>
    <xf numFmtId="166" fontId="22" fillId="12" borderId="155" xfId="13" applyNumberFormat="1" applyFont="1" applyFill="1" applyBorder="1" applyAlignment="1">
      <alignment horizontal="right" vertical="center"/>
    </xf>
    <xf numFmtId="167" fontId="10" fillId="11" borderId="156" xfId="13" applyNumberFormat="1" applyFont="1" applyFill="1" applyBorder="1" applyAlignment="1">
      <alignment horizontal="right" vertical="center"/>
    </xf>
    <xf numFmtId="166" fontId="22" fillId="11" borderId="156" xfId="13" applyNumberFormat="1" applyFont="1" applyFill="1" applyBorder="1" applyAlignment="1">
      <alignment horizontal="right" vertical="center"/>
    </xf>
    <xf numFmtId="0" fontId="14" fillId="13" borderId="137" xfId="0" applyFont="1" applyFill="1" applyBorder="1" applyAlignment="1">
      <alignment horizontal="center" vertical="center" textRotation="90" readingOrder="2"/>
    </xf>
    <xf numFmtId="165" fontId="18" fillId="13" borderId="137" xfId="13" applyNumberFormat="1" applyFont="1" applyFill="1" applyBorder="1" applyAlignment="1">
      <alignment horizontal="center" vertical="center"/>
    </xf>
    <xf numFmtId="167" fontId="8" fillId="13" borderId="137" xfId="13" applyNumberFormat="1" applyFont="1" applyFill="1" applyBorder="1" applyAlignment="1">
      <alignment horizontal="right" vertical="center"/>
    </xf>
    <xf numFmtId="167" fontId="8" fillId="13" borderId="137" xfId="13" quotePrefix="1" applyNumberFormat="1" applyFont="1" applyFill="1" applyBorder="1" applyAlignment="1">
      <alignment horizontal="right" vertical="center"/>
    </xf>
    <xf numFmtId="167" fontId="10" fillId="13" borderId="137" xfId="13" quotePrefix="1" applyNumberFormat="1" applyFont="1" applyFill="1" applyBorder="1" applyAlignment="1">
      <alignment horizontal="right" vertical="center"/>
    </xf>
    <xf numFmtId="166" fontId="22" fillId="13" borderId="137" xfId="13" applyNumberFormat="1" applyFont="1" applyFill="1" applyBorder="1" applyAlignment="1">
      <alignment horizontal="right" vertical="center"/>
    </xf>
    <xf numFmtId="167" fontId="10" fillId="13" borderId="137" xfId="13" applyNumberFormat="1" applyFont="1" applyFill="1" applyBorder="1" applyAlignment="1">
      <alignment horizontal="right" vertical="center"/>
    </xf>
    <xf numFmtId="165" fontId="4" fillId="13" borderId="0" xfId="13" applyNumberFormat="1" applyFont="1" applyFill="1" applyBorder="1" applyAlignment="1">
      <alignment horizontal="center" vertical="center" wrapText="1"/>
    </xf>
    <xf numFmtId="167" fontId="10" fillId="13" borderId="0" xfId="13" applyNumberFormat="1" applyFont="1" applyFill="1" applyBorder="1" applyAlignment="1">
      <alignment horizontal="right" vertical="center"/>
    </xf>
    <xf numFmtId="167" fontId="10" fillId="13" borderId="0" xfId="13" quotePrefix="1" applyNumberFormat="1" applyFont="1" applyFill="1" applyBorder="1" applyAlignment="1">
      <alignment horizontal="right" vertical="center"/>
    </xf>
    <xf numFmtId="167" fontId="8" fillId="13" borderId="0" xfId="13" applyNumberFormat="1" applyFont="1" applyFill="1" applyBorder="1" applyAlignment="1">
      <alignment horizontal="right" vertical="center"/>
    </xf>
    <xf numFmtId="167" fontId="8" fillId="13" borderId="0" xfId="13" quotePrefix="1" applyNumberFormat="1" applyFont="1" applyFill="1" applyBorder="1" applyAlignment="1">
      <alignment horizontal="right" vertical="center"/>
    </xf>
    <xf numFmtId="166" fontId="22" fillId="13" borderId="0" xfId="13" applyNumberFormat="1" applyFont="1" applyFill="1" applyBorder="1" applyAlignment="1">
      <alignment horizontal="right" vertical="center"/>
    </xf>
    <xf numFmtId="4" fontId="16" fillId="8" borderId="78" xfId="13" applyNumberFormat="1" applyFont="1" applyFill="1" applyBorder="1" applyAlignment="1">
      <alignment horizontal="center" vertical="center"/>
    </xf>
    <xf numFmtId="167" fontId="13" fillId="8" borderId="87" xfId="13" applyNumberFormat="1" applyFont="1" applyFill="1" applyBorder="1" applyAlignment="1">
      <alignment horizontal="right" vertical="center"/>
    </xf>
    <xf numFmtId="167" fontId="13" fillId="8" borderId="64" xfId="13" applyNumberFormat="1" applyFont="1" applyFill="1" applyBorder="1" applyAlignment="1">
      <alignment horizontal="right" vertical="center"/>
    </xf>
    <xf numFmtId="166" fontId="23" fillId="22" borderId="88" xfId="13" applyNumberFormat="1" applyFont="1" applyFill="1" applyBorder="1" applyAlignment="1">
      <alignment horizontal="right" vertical="center"/>
    </xf>
    <xf numFmtId="167" fontId="10" fillId="4" borderId="89" xfId="0" applyNumberFormat="1" applyFont="1" applyFill="1" applyBorder="1" applyAlignment="1">
      <alignment horizontal="right" vertical="center"/>
    </xf>
    <xf numFmtId="165" fontId="8" fillId="0" borderId="0" xfId="13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167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14" fillId="0" borderId="90" xfId="13" applyNumberFormat="1" applyFont="1" applyBorder="1" applyAlignment="1">
      <alignment horizontal="left" vertical="center"/>
    </xf>
    <xf numFmtId="167" fontId="8" fillId="0" borderId="91" xfId="13" applyNumberFormat="1" applyFont="1" applyBorder="1" applyAlignment="1">
      <alignment horizontal="right" vertical="center"/>
    </xf>
    <xf numFmtId="167" fontId="8" fillId="0" borderId="92" xfId="13" quotePrefix="1" applyNumberFormat="1" applyFont="1" applyBorder="1" applyAlignment="1">
      <alignment horizontal="right" vertical="center"/>
    </xf>
    <xf numFmtId="167" fontId="8" fillId="0" borderId="91" xfId="13" quotePrefix="1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quotePrefix="1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7" fontId="14" fillId="0" borderId="0" xfId="0" applyNumberFormat="1" applyFont="1"/>
    <xf numFmtId="0" fontId="4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13" fillId="23" borderId="93" xfId="13" applyNumberFormat="1" applyFont="1" applyFill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60" xfId="0" applyNumberFormat="1" applyFont="1" applyBorder="1" applyAlignment="1">
      <alignment horizontal="right" vertical="center"/>
    </xf>
    <xf numFmtId="167" fontId="8" fillId="0" borderId="62" xfId="13" applyNumberFormat="1" applyFont="1" applyBorder="1" applyAlignment="1">
      <alignment horizontal="right" vertical="center"/>
    </xf>
    <xf numFmtId="166" fontId="22" fillId="15" borderId="23" xfId="13" applyNumberFormat="1" applyFont="1" applyFill="1" applyBorder="1" applyAlignment="1">
      <alignment horizontal="right" vertical="center"/>
    </xf>
    <xf numFmtId="167" fontId="10" fillId="0" borderId="16" xfId="13" applyNumberFormat="1" applyFont="1" applyBorder="1" applyAlignment="1">
      <alignment horizontal="right" vertical="center"/>
    </xf>
    <xf numFmtId="3" fontId="8" fillId="0" borderId="75" xfId="0" applyNumberFormat="1" applyFont="1" applyBorder="1" applyAlignment="1">
      <alignment horizontal="right" vertical="center"/>
    </xf>
    <xf numFmtId="3" fontId="8" fillId="0" borderId="94" xfId="0" applyNumberFormat="1" applyFont="1" applyBorder="1" applyAlignment="1">
      <alignment horizontal="right" vertical="center"/>
    </xf>
    <xf numFmtId="3" fontId="8" fillId="0" borderId="77" xfId="0" applyNumberFormat="1" applyFont="1" applyBorder="1" applyAlignment="1">
      <alignment horizontal="right" vertical="center"/>
    </xf>
    <xf numFmtId="3" fontId="8" fillId="0" borderId="95" xfId="0" applyNumberFormat="1" applyFont="1" applyBorder="1" applyAlignment="1">
      <alignment horizontal="right" vertical="center"/>
    </xf>
    <xf numFmtId="3" fontId="8" fillId="0" borderId="96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horizontal="right" vertical="center"/>
    </xf>
    <xf numFmtId="167" fontId="34" fillId="4" borderId="56" xfId="0" applyNumberFormat="1" applyFont="1" applyFill="1" applyBorder="1" applyAlignment="1">
      <alignment horizontal="right" vertical="center"/>
    </xf>
    <xf numFmtId="167" fontId="8" fillId="0" borderId="51" xfId="0" applyNumberFormat="1" applyFont="1" applyBorder="1"/>
    <xf numFmtId="167" fontId="8" fillId="0" borderId="2" xfId="0" applyNumberFormat="1" applyFont="1" applyBorder="1"/>
    <xf numFmtId="0" fontId="8" fillId="0" borderId="28" xfId="0" applyFont="1" applyBorder="1"/>
    <xf numFmtId="167" fontId="34" fillId="4" borderId="98" xfId="0" applyNumberFormat="1" applyFont="1" applyFill="1" applyBorder="1" applyAlignment="1">
      <alignment horizontal="right" vertical="center"/>
    </xf>
    <xf numFmtId="2" fontId="51" fillId="0" borderId="26" xfId="0" applyNumberFormat="1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0" fontId="52" fillId="0" borderId="49" xfId="0" applyFont="1" applyBorder="1"/>
    <xf numFmtId="2" fontId="51" fillId="0" borderId="35" xfId="0" applyNumberFormat="1" applyFont="1" applyBorder="1" applyAlignment="1">
      <alignment horizontal="center"/>
    </xf>
    <xf numFmtId="175" fontId="4" fillId="0" borderId="0" xfId="0" applyNumberFormat="1" applyFont="1"/>
    <xf numFmtId="176" fontId="4" fillId="0" borderId="0" xfId="0" applyNumberFormat="1" applyFont="1"/>
    <xf numFmtId="174" fontId="4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167" fontId="10" fillId="11" borderId="156" xfId="13" applyNumberFormat="1" applyFont="1" applyFill="1" applyBorder="1" applyAlignment="1">
      <alignment horizontal="center" vertical="center"/>
    </xf>
    <xf numFmtId="166" fontId="22" fillId="12" borderId="61" xfId="13" applyNumberFormat="1" applyFont="1" applyFill="1" applyBorder="1" applyAlignment="1">
      <alignment horizontal="center" vertical="center"/>
    </xf>
    <xf numFmtId="167" fontId="10" fillId="11" borderId="157" xfId="13" quotePrefix="1" applyNumberFormat="1" applyFont="1" applyFill="1" applyBorder="1" applyAlignment="1">
      <alignment horizontal="center" vertical="center"/>
    </xf>
    <xf numFmtId="167" fontId="8" fillId="0" borderId="14" xfId="13" quotePrefix="1" applyNumberFormat="1" applyFont="1" applyBorder="1" applyAlignment="1">
      <alignment horizontal="right" vertical="center"/>
    </xf>
    <xf numFmtId="167" fontId="8" fillId="0" borderId="2" xfId="13" quotePrefix="1" applyNumberFormat="1" applyFont="1" applyBorder="1" applyAlignment="1">
      <alignment horizontal="right" vertical="center"/>
    </xf>
    <xf numFmtId="167" fontId="8" fillId="11" borderId="153" xfId="13" applyNumberFormat="1" applyFont="1" applyFill="1" applyBorder="1" applyAlignment="1">
      <alignment horizontal="center" vertical="center"/>
    </xf>
    <xf numFmtId="167" fontId="8" fillId="11" borderId="154" xfId="13" quotePrefix="1" applyNumberFormat="1" applyFont="1" applyFill="1" applyBorder="1" applyAlignment="1">
      <alignment horizontal="center" vertical="center"/>
    </xf>
    <xf numFmtId="167" fontId="10" fillId="11" borderId="158" xfId="13" applyNumberFormat="1" applyFont="1" applyFill="1" applyBorder="1" applyAlignment="1">
      <alignment horizontal="center" vertical="center"/>
    </xf>
    <xf numFmtId="166" fontId="22" fillId="11" borderId="159" xfId="13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justify"/>
    </xf>
    <xf numFmtId="0" fontId="18" fillId="0" borderId="0" xfId="0" applyFont="1" applyAlignment="1">
      <alignment vertical="center"/>
    </xf>
    <xf numFmtId="0" fontId="54" fillId="0" borderId="0" xfId="0" applyFont="1"/>
    <xf numFmtId="0" fontId="18" fillId="0" borderId="0" xfId="0" applyFont="1" applyFill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9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90" xfId="0" applyNumberFormat="1" applyFont="1" applyBorder="1" applyAlignment="1">
      <alignment horizontal="right" vertical="center"/>
    </xf>
    <xf numFmtId="167" fontId="13" fillId="0" borderId="93" xfId="13" applyNumberFormat="1" applyFont="1" applyBorder="1" applyAlignment="1">
      <alignment horizontal="right"/>
    </xf>
    <xf numFmtId="167" fontId="13" fillId="23" borderId="88" xfId="13" applyNumberFormat="1" applyFont="1" applyFill="1" applyBorder="1" applyAlignment="1">
      <alignment horizontal="right" vertical="center"/>
    </xf>
    <xf numFmtId="167" fontId="8" fillId="0" borderId="13" xfId="0" applyNumberFormat="1" applyFont="1" applyBorder="1"/>
    <xf numFmtId="2" fontId="51" fillId="0" borderId="61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4" fillId="0" borderId="99" xfId="0" applyNumberFormat="1" applyFont="1" applyBorder="1" applyAlignment="1">
      <alignment horizontal="center"/>
    </xf>
    <xf numFmtId="173" fontId="0" fillId="0" borderId="0" xfId="0" applyNumberFormat="1" applyFill="1" applyBorder="1" applyProtection="1">
      <protection locked="0"/>
    </xf>
    <xf numFmtId="167" fontId="14" fillId="0" borderId="24" xfId="0" applyNumberFormat="1" applyFont="1" applyBorder="1" applyAlignment="1">
      <alignment horizontal="right" vertical="center"/>
    </xf>
    <xf numFmtId="167" fontId="4" fillId="0" borderId="2" xfId="13" applyNumberFormat="1" applyFont="1" applyBorder="1" applyAlignment="1">
      <alignment horizontal="center" vertical="center"/>
    </xf>
    <xf numFmtId="167" fontId="8" fillId="0" borderId="36" xfId="0" applyNumberFormat="1" applyFont="1" applyBorder="1" applyAlignment="1">
      <alignment horizontal="center" vertical="center"/>
    </xf>
    <xf numFmtId="165" fontId="14" fillId="0" borderId="160" xfId="13" applyNumberFormat="1" applyFont="1" applyBorder="1" applyAlignment="1">
      <alignment horizontal="left" vertical="center"/>
    </xf>
    <xf numFmtId="167" fontId="8" fillId="0" borderId="5" xfId="0" applyNumberFormat="1" applyFont="1" applyBorder="1" applyAlignment="1">
      <alignment horizontal="center" vertical="center"/>
    </xf>
    <xf numFmtId="167" fontId="8" fillId="13" borderId="100" xfId="0" applyNumberFormat="1" applyFont="1" applyFill="1" applyBorder="1" applyAlignment="1">
      <alignment vertical="center"/>
    </xf>
    <xf numFmtId="167" fontId="8" fillId="13" borderId="101" xfId="0" applyNumberFormat="1" applyFont="1" applyFill="1" applyBorder="1" applyAlignment="1">
      <alignment vertical="center"/>
    </xf>
    <xf numFmtId="165" fontId="14" fillId="0" borderId="28" xfId="13" applyNumberFormat="1" applyFont="1" applyBorder="1" applyAlignment="1">
      <alignment horizontal="left" vertical="center"/>
    </xf>
    <xf numFmtId="167" fontId="8" fillId="0" borderId="17" xfId="13" quotePrefix="1" applyNumberFormat="1" applyFont="1" applyBorder="1" applyAlignment="1">
      <alignment horizontal="right" vertical="center"/>
    </xf>
    <xf numFmtId="167" fontId="8" fillId="6" borderId="11" xfId="13" applyNumberFormat="1" applyFont="1" applyFill="1" applyBorder="1" applyAlignment="1">
      <alignment horizontal="center" vertical="center"/>
    </xf>
    <xf numFmtId="167" fontId="8" fillId="0" borderId="14" xfId="13" applyNumberFormat="1" applyFont="1" applyBorder="1" applyAlignment="1">
      <alignment horizontal="right" vertical="center"/>
    </xf>
    <xf numFmtId="166" fontId="22" fillId="12" borderId="15" xfId="13" applyNumberFormat="1" applyFont="1" applyFill="1" applyBorder="1" applyAlignment="1">
      <alignment horizontal="right" vertical="center"/>
    </xf>
    <xf numFmtId="167" fontId="8" fillId="11" borderId="161" xfId="13" applyNumberFormat="1" applyFont="1" applyFill="1" applyBorder="1" applyAlignment="1">
      <alignment horizontal="center" vertical="center"/>
    </xf>
    <xf numFmtId="167" fontId="8" fillId="11" borderId="162" xfId="13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67" fontId="8" fillId="13" borderId="102" xfId="0" applyNumberFormat="1" applyFont="1" applyFill="1" applyBorder="1" applyAlignment="1">
      <alignment vertical="center"/>
    </xf>
    <xf numFmtId="167" fontId="8" fillId="13" borderId="48" xfId="0" applyNumberFormat="1" applyFont="1" applyFill="1" applyBorder="1" applyAlignment="1">
      <alignment vertical="center"/>
    </xf>
    <xf numFmtId="167" fontId="11" fillId="0" borderId="2" xfId="13" quotePrefix="1" applyNumberFormat="1" applyFont="1" applyBorder="1" applyAlignment="1">
      <alignment horizontal="center" vertical="center"/>
    </xf>
    <xf numFmtId="167" fontId="11" fillId="0" borderId="54" xfId="13" quotePrefix="1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right" vertical="center"/>
    </xf>
    <xf numFmtId="167" fontId="11" fillId="0" borderId="2" xfId="13" applyNumberFormat="1" applyFont="1" applyBorder="1" applyAlignment="1">
      <alignment horizontal="center" vertical="center"/>
    </xf>
    <xf numFmtId="167" fontId="4" fillId="0" borderId="1" xfId="13" quotePrefix="1" applyNumberFormat="1" applyFont="1" applyBorder="1" applyAlignment="1">
      <alignment horizontal="center" vertical="center"/>
    </xf>
    <xf numFmtId="167" fontId="4" fillId="0" borderId="2" xfId="13" quotePrefix="1" applyNumberFormat="1" applyFont="1" applyBorder="1" applyAlignment="1">
      <alignment horizontal="center" vertical="center"/>
    </xf>
    <xf numFmtId="167" fontId="8" fillId="24" borderId="81" xfId="13" quotePrefix="1" applyNumberFormat="1" applyFont="1" applyFill="1" applyBorder="1" applyAlignment="1">
      <alignment horizontal="right" vertical="center"/>
    </xf>
    <xf numFmtId="167" fontId="8" fillId="11" borderId="103" xfId="13" applyNumberFormat="1" applyFont="1" applyFill="1" applyBorder="1" applyAlignment="1">
      <alignment horizontal="center" vertical="center"/>
    </xf>
    <xf numFmtId="167" fontId="8" fillId="24" borderId="18" xfId="13" quotePrefix="1" applyNumberFormat="1" applyFont="1" applyFill="1" applyBorder="1" applyAlignment="1">
      <alignment horizontal="right" vertical="center"/>
    </xf>
    <xf numFmtId="167" fontId="8" fillId="24" borderId="46" xfId="13" quotePrefix="1" applyNumberFormat="1" applyFont="1" applyFill="1" applyBorder="1" applyAlignment="1">
      <alignment horizontal="right" vertical="center"/>
    </xf>
    <xf numFmtId="165" fontId="14" fillId="0" borderId="148" xfId="13" applyNumberFormat="1" applyFont="1" applyBorder="1" applyAlignment="1">
      <alignment horizontal="left" vertical="center" wrapText="1"/>
    </xf>
    <xf numFmtId="167" fontId="8" fillId="24" borderId="45" xfId="13" quotePrefix="1" applyNumberFormat="1" applyFont="1" applyFill="1" applyBorder="1" applyAlignment="1">
      <alignment horizontal="right" vertical="center"/>
    </xf>
    <xf numFmtId="0" fontId="14" fillId="2" borderId="63" xfId="0" applyFont="1" applyFill="1" applyBorder="1" applyAlignment="1">
      <alignment horizontal="center" vertical="center" wrapText="1"/>
    </xf>
    <xf numFmtId="0" fontId="14" fillId="2" borderId="105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105" xfId="0" applyFont="1" applyFill="1" applyBorder="1" applyAlignment="1">
      <alignment horizontal="center" vertical="center" wrapText="1"/>
    </xf>
    <xf numFmtId="0" fontId="14" fillId="3" borderId="8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7" fillId="0" borderId="0" xfId="13" applyNumberFormat="1" applyFont="1" applyFill="1" applyBorder="1" applyAlignment="1">
      <alignment horizontal="left" vertical="top" wrapText="1"/>
    </xf>
    <xf numFmtId="0" fontId="18" fillId="0" borderId="5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8" fillId="0" borderId="33" xfId="13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06" xfId="13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1" xfId="13" applyNumberFormat="1" applyFont="1" applyBorder="1" applyAlignment="1">
      <alignment horizontal="center" vertical="center"/>
    </xf>
    <xf numFmtId="0" fontId="10" fillId="0" borderId="100" xfId="13" applyNumberFormat="1" applyFont="1" applyBorder="1" applyAlignment="1">
      <alignment horizontal="center" vertical="center"/>
    </xf>
    <xf numFmtId="0" fontId="4" fillId="0" borderId="1" xfId="13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9" fillId="0" borderId="104" xfId="13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7" fillId="0" borderId="0" xfId="13" applyNumberFormat="1" applyFont="1" applyFill="1" applyBorder="1" applyAlignment="1">
      <alignment horizontal="left" wrapText="1"/>
    </xf>
    <xf numFmtId="0" fontId="11" fillId="0" borderId="2" xfId="13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11" xfId="13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 wrapText="1"/>
    </xf>
    <xf numFmtId="0" fontId="14" fillId="2" borderId="109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 vertical="center" wrapText="1"/>
    </xf>
    <xf numFmtId="0" fontId="14" fillId="3" borderId="108" xfId="0" applyFont="1" applyFill="1" applyBorder="1" applyAlignment="1">
      <alignment horizontal="center" vertical="center" wrapText="1"/>
    </xf>
    <xf numFmtId="0" fontId="14" fillId="3" borderId="109" xfId="0" applyFont="1" applyFill="1" applyBorder="1" applyAlignment="1">
      <alignment horizontal="center" vertical="center" wrapText="1"/>
    </xf>
    <xf numFmtId="0" fontId="14" fillId="3" borderId="110" xfId="0" applyFont="1" applyFill="1" applyBorder="1" applyAlignment="1">
      <alignment horizontal="center" vertical="center" wrapText="1"/>
    </xf>
    <xf numFmtId="0" fontId="11" fillId="0" borderId="54" xfId="13" applyNumberFormat="1" applyFont="1" applyBorder="1" applyAlignment="1">
      <alignment horizontal="center" vertical="center"/>
    </xf>
    <xf numFmtId="0" fontId="11" fillId="0" borderId="0" xfId="13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11" xfId="13" applyNumberFormat="1" applyFont="1" applyBorder="1" applyAlignment="1">
      <alignment horizontal="center" vertical="center" wrapText="1"/>
    </xf>
    <xf numFmtId="0" fontId="19" fillId="10" borderId="11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164" fontId="3" fillId="0" borderId="0" xfId="13" applyNumberFormat="1" applyFont="1" applyFill="1" applyBorder="1" applyAlignment="1">
      <alignment horizontal="left" vertical="top" wrapText="1"/>
    </xf>
    <xf numFmtId="164" fontId="4" fillId="11" borderId="112" xfId="13" applyNumberFormat="1" applyFont="1" applyFill="1" applyBorder="1" applyAlignment="1">
      <alignment horizontal="center" vertical="center" wrapText="1"/>
    </xf>
    <xf numFmtId="164" fontId="4" fillId="11" borderId="113" xfId="13" applyNumberFormat="1" applyFont="1" applyFill="1" applyBorder="1" applyAlignment="1">
      <alignment horizontal="center" vertical="center" wrapText="1"/>
    </xf>
    <xf numFmtId="0" fontId="4" fillId="0" borderId="114" xfId="13" applyNumberFormat="1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4" fillId="0" borderId="2" xfId="1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164" fontId="4" fillId="0" borderId="2" xfId="13" applyNumberFormat="1" applyFont="1" applyBorder="1" applyAlignment="1">
      <alignment horizontal="center" vertical="center"/>
    </xf>
    <xf numFmtId="164" fontId="4" fillId="0" borderId="17" xfId="13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14" fillId="9" borderId="5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8" fillId="0" borderId="117" xfId="13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8" fillId="0" borderId="118" xfId="1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64" fontId="16" fillId="7" borderId="63" xfId="13" applyNumberFormat="1" applyFont="1" applyFill="1" applyBorder="1" applyAlignment="1">
      <alignment horizontal="center"/>
    </xf>
    <xf numFmtId="164" fontId="16" fillId="7" borderId="105" xfId="13" applyNumberFormat="1" applyFont="1" applyFill="1" applyBorder="1" applyAlignment="1">
      <alignment horizontal="center"/>
    </xf>
    <xf numFmtId="164" fontId="3" fillId="0" borderId="0" xfId="13" applyNumberFormat="1" applyFont="1" applyFill="1" applyBorder="1" applyAlignment="1">
      <alignment horizontal="left" wrapText="1"/>
    </xf>
    <xf numFmtId="0" fontId="41" fillId="0" borderId="164" xfId="0" applyFont="1" applyBorder="1" applyAlignment="1">
      <alignment horizontal="center" vertical="top" wrapText="1"/>
    </xf>
    <xf numFmtId="0" fontId="41" fillId="0" borderId="165" xfId="0" applyFont="1" applyBorder="1" applyAlignment="1">
      <alignment horizontal="center" vertical="top" wrapText="1"/>
    </xf>
    <xf numFmtId="0" fontId="41" fillId="0" borderId="166" xfId="0" applyFont="1" applyBorder="1" applyAlignment="1">
      <alignment horizontal="center" vertical="top" wrapText="1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14" fillId="25" borderId="132" xfId="0" applyFont="1" applyFill="1" applyBorder="1" applyAlignment="1">
      <alignment horizontal="center" vertical="center" textRotation="90" wrapText="1"/>
    </xf>
    <xf numFmtId="0" fontId="14" fillId="25" borderId="136" xfId="0" applyFont="1" applyFill="1" applyBorder="1" applyAlignment="1">
      <alignment horizontal="center" vertical="center" textRotation="90" wrapText="1"/>
    </xf>
    <xf numFmtId="0" fontId="0" fillId="0" borderId="134" xfId="0" applyBorder="1" applyAlignment="1">
      <alignment horizontal="center" vertical="center" textRotation="90" wrapText="1"/>
    </xf>
    <xf numFmtId="0" fontId="19" fillId="0" borderId="106" xfId="1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1" fillId="0" borderId="121" xfId="13" applyNumberFormat="1" applyFont="1" applyBorder="1" applyAlignment="1">
      <alignment horizontal="center" vertical="center"/>
    </xf>
    <xf numFmtId="0" fontId="11" fillId="0" borderId="120" xfId="13" applyNumberFormat="1" applyFont="1" applyBorder="1" applyAlignment="1">
      <alignment horizontal="center" vertical="center"/>
    </xf>
    <xf numFmtId="0" fontId="11" fillId="0" borderId="59" xfId="13" applyNumberFormat="1" applyFont="1" applyBorder="1" applyAlignment="1">
      <alignment horizontal="center" vertical="center"/>
    </xf>
    <xf numFmtId="0" fontId="11" fillId="0" borderId="122" xfId="13" applyNumberFormat="1" applyFont="1" applyBorder="1" applyAlignment="1">
      <alignment horizontal="center" vertical="center"/>
    </xf>
    <xf numFmtId="0" fontId="11" fillId="0" borderId="115" xfId="13" applyNumberFormat="1" applyFont="1" applyBorder="1" applyAlignment="1">
      <alignment horizontal="center" vertical="center"/>
    </xf>
    <xf numFmtId="0" fontId="14" fillId="10" borderId="132" xfId="0" applyFont="1" applyFill="1" applyBorder="1" applyAlignment="1">
      <alignment horizontal="center" vertical="center" textRotation="90" readingOrder="2"/>
    </xf>
    <xf numFmtId="0" fontId="14" fillId="10" borderId="136" xfId="0" applyFont="1" applyFill="1" applyBorder="1" applyAlignment="1">
      <alignment horizontal="center" vertical="center" textRotation="90" readingOrder="2"/>
    </xf>
    <xf numFmtId="0" fontId="14" fillId="10" borderId="134" xfId="0" applyFont="1" applyFill="1" applyBorder="1" applyAlignment="1">
      <alignment horizontal="center" vertical="center" textRotation="90" readingOrder="2"/>
    </xf>
    <xf numFmtId="0" fontId="14" fillId="0" borderId="39" xfId="0" applyFont="1" applyBorder="1" applyAlignment="1">
      <alignment horizontal="center" vertical="center" textRotation="90" wrapText="1"/>
    </xf>
    <xf numFmtId="0" fontId="10" fillId="2" borderId="105" xfId="0" applyFont="1" applyFill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105" xfId="0" applyFont="1" applyFill="1" applyBorder="1" applyAlignment="1">
      <alignment horizontal="center" vertical="center" wrapText="1"/>
    </xf>
    <xf numFmtId="0" fontId="26" fillId="0" borderId="105" xfId="0" applyFont="1" applyBorder="1" applyAlignment="1">
      <alignment vertical="center" wrapText="1"/>
    </xf>
    <xf numFmtId="0" fontId="26" fillId="0" borderId="89" xfId="0" applyFont="1" applyBorder="1" applyAlignment="1">
      <alignment vertical="center" wrapText="1"/>
    </xf>
    <xf numFmtId="3" fontId="12" fillId="0" borderId="1" xfId="13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13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67" xfId="0" applyBorder="1" applyAlignment="1">
      <alignment vertical="center" wrapText="1"/>
    </xf>
    <xf numFmtId="0" fontId="11" fillId="0" borderId="1" xfId="13" applyNumberFormat="1" applyFont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" borderId="105" xfId="0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 wrapText="1"/>
    </xf>
    <xf numFmtId="0" fontId="10" fillId="9" borderId="1" xfId="13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0" borderId="54" xfId="13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8" fillId="0" borderId="2" xfId="13" applyFont="1" applyBorder="1" applyAlignment="1">
      <alignment horizontal="center" vertical="center"/>
    </xf>
    <xf numFmtId="0" fontId="8" fillId="0" borderId="107" xfId="13" applyNumberFormat="1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8" fillId="0" borderId="1" xfId="13" applyFont="1" applyBorder="1" applyAlignment="1">
      <alignment horizontal="center" vertical="center"/>
    </xf>
  </cellXfs>
  <cellStyles count="16">
    <cellStyle name="Lien hypertexte" xfId="1" builtinId="8"/>
    <cellStyle name="Lien hypertexte 2" xfId="2"/>
    <cellStyle name="Milliers" xfId="3" builtinId="3"/>
    <cellStyle name="Milliers 2" xfId="4"/>
    <cellStyle name="Milliers_Feuil1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 7" xfId="11"/>
    <cellStyle name="Normal 7 2" xfId="12"/>
    <cellStyle name="Normal_Feuil1" xfId="13"/>
    <cellStyle name="Pourcentage" xfId="14" builtinId="5"/>
    <cellStyle name="Pourcentage 2" xfId="15"/>
  </cellStyles>
  <dxfs count="19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sur 10 ans du solde des remboursements </a:t>
            </a:r>
          </a:p>
        </c:rich>
      </c:tx>
      <c:layout>
        <c:manualLayout>
          <c:xMode val="edge"/>
          <c:yMode val="edge"/>
          <c:x val="0.1961332166812482"/>
          <c:y val="2.6143855613553944E-2"/>
        </c:manualLayout>
      </c:layout>
    </c:title>
    <c:plotArea>
      <c:layout>
        <c:manualLayout>
          <c:layoutTarget val="inner"/>
          <c:xMode val="edge"/>
          <c:yMode val="edge"/>
          <c:x val="0.14988717948717956"/>
          <c:y val="0.18018018018018025"/>
          <c:w val="0.79062564102564103"/>
          <c:h val="0.62018527095877762"/>
        </c:manualLayout>
      </c:layout>
      <c:lineChart>
        <c:grouping val="standard"/>
        <c:ser>
          <c:idx val="1"/>
          <c:order val="0"/>
          <c:tx>
            <c:strRef>
              <c:f>SOURCES!$B$83</c:f>
              <c:strCache>
                <c:ptCount val="1"/>
                <c:pt idx="0">
                  <c:v>Remboursements par la France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SOURCES!$A$84:$A$93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SOURCES!$B$84:$B$93</c:f>
              <c:numCache>
                <c:formatCode>_-* #,##0.00\ _€_-;\-* #,##0.00\ _€_-;_-* "-"??\ _€_-;_-@_-</c:formatCode>
                <c:ptCount val="10"/>
                <c:pt idx="0">
                  <c:v>298025802.01999998</c:v>
                </c:pt>
                <c:pt idx="1">
                  <c:v>322007047.67000002</c:v>
                </c:pt>
                <c:pt idx="2">
                  <c:v>266672606.02999997</c:v>
                </c:pt>
                <c:pt idx="3">
                  <c:v>395791024.31</c:v>
                </c:pt>
                <c:pt idx="4">
                  <c:v>317508298.63</c:v>
                </c:pt>
                <c:pt idx="5">
                  <c:v>469798878.87</c:v>
                </c:pt>
                <c:pt idx="6">
                  <c:v>404451802.12</c:v>
                </c:pt>
                <c:pt idx="7">
                  <c:v>681209150.70000005</c:v>
                </c:pt>
                <c:pt idx="8">
                  <c:v>510762584</c:v>
                </c:pt>
                <c:pt idx="9">
                  <c:v>406999688.0911141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SOURCES!$C$83</c:f>
              <c:strCache>
                <c:ptCount val="1"/>
                <c:pt idx="0">
                  <c:v>Remboursements à la France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SOURCES!$A$84:$A$93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SOURCES!$C$84:$C$93</c:f>
              <c:numCache>
                <c:formatCode>_-* #,##0.00\ _€_-;\-* #,##0.00\ _€_-;_-* "-"??\ _€_-;_-@_-</c:formatCode>
                <c:ptCount val="10"/>
                <c:pt idx="0">
                  <c:v>482622094.93000001</c:v>
                </c:pt>
                <c:pt idx="1">
                  <c:v>833659564.67000008</c:v>
                </c:pt>
                <c:pt idx="2">
                  <c:v>819604076.34000003</c:v>
                </c:pt>
                <c:pt idx="3">
                  <c:v>424337955.43000001</c:v>
                </c:pt>
                <c:pt idx="4">
                  <c:v>565480413.81000006</c:v>
                </c:pt>
                <c:pt idx="5">
                  <c:v>625794168.16999996</c:v>
                </c:pt>
                <c:pt idx="6">
                  <c:v>990473308.73999989</c:v>
                </c:pt>
                <c:pt idx="7">
                  <c:v>599755143.87000012</c:v>
                </c:pt>
                <c:pt idx="8">
                  <c:v>761903451</c:v>
                </c:pt>
                <c:pt idx="9">
                  <c:v>1049738324.14</c:v>
                </c:pt>
              </c:numCache>
            </c:numRef>
          </c:val>
          <c:smooth val="1"/>
        </c:ser>
        <c:hiLowLines>
          <c:spPr>
            <a:ln>
              <a:solidFill>
                <a:schemeClr val="tx1"/>
              </a:solidFill>
              <a:prstDash val="dash"/>
            </a:ln>
          </c:spPr>
        </c:hiLowLines>
        <c:marker val="1"/>
        <c:axId val="135009792"/>
        <c:axId val="135011328"/>
      </c:lineChart>
      <c:lineChart>
        <c:grouping val="standard"/>
        <c:ser>
          <c:idx val="4"/>
          <c:order val="2"/>
          <c:tx>
            <c:strRef>
              <c:f>SOURCES!$E$83</c:f>
              <c:strCache>
                <c:ptCount val="1"/>
                <c:pt idx="0">
                  <c:v>milieu ecart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fr-FR"/>
              </a:p>
            </c:txPr>
            <c:dLblPos val="ctr"/>
            <c:showCatName val="1"/>
          </c:dLbls>
          <c:cat>
            <c:numRef>
              <c:f>SOURCES!$D$84:$D$93</c:f>
              <c:numCache>
                <c:formatCode>0.0,," M € "</c:formatCode>
                <c:ptCount val="10"/>
                <c:pt idx="0">
                  <c:v>184596292.91000003</c:v>
                </c:pt>
                <c:pt idx="1">
                  <c:v>511652517.00000006</c:v>
                </c:pt>
                <c:pt idx="2">
                  <c:v>552931470.31000006</c:v>
                </c:pt>
                <c:pt idx="3">
                  <c:v>28546931.120000005</c:v>
                </c:pt>
                <c:pt idx="4">
                  <c:v>247972115.18000007</c:v>
                </c:pt>
                <c:pt idx="5">
                  <c:v>155995289.29999995</c:v>
                </c:pt>
                <c:pt idx="6">
                  <c:v>586021506.61999989</c:v>
                </c:pt>
                <c:pt idx="7">
                  <c:v>-81454006.829999924</c:v>
                </c:pt>
                <c:pt idx="8">
                  <c:v>251140867</c:v>
                </c:pt>
                <c:pt idx="9">
                  <c:v>642738636.04888582</c:v>
                </c:pt>
              </c:numCache>
            </c:numRef>
          </c:cat>
          <c:val>
            <c:numRef>
              <c:f>SOURCES!$E$84:$E$93</c:f>
              <c:numCache>
                <c:formatCode>_-* #,##0.00\ _€_-;\-* #,##0.00\ _€_-;_-* "-"??\ _€_-;_-@_-</c:formatCode>
                <c:ptCount val="10"/>
                <c:pt idx="0">
                  <c:v>390323948.47500002</c:v>
                </c:pt>
                <c:pt idx="1">
                  <c:v>577833306.17000008</c:v>
                </c:pt>
                <c:pt idx="2">
                  <c:v>543138341.18499994</c:v>
                </c:pt>
                <c:pt idx="3">
                  <c:v>410064489.87</c:v>
                </c:pt>
                <c:pt idx="4">
                  <c:v>441494356.22000003</c:v>
                </c:pt>
                <c:pt idx="5">
                  <c:v>547796523.51999998</c:v>
                </c:pt>
                <c:pt idx="6">
                  <c:v>697462555.42999995</c:v>
                </c:pt>
                <c:pt idx="7">
                  <c:v>640482147.28500009</c:v>
                </c:pt>
                <c:pt idx="8">
                  <c:v>636333017.5</c:v>
                </c:pt>
                <c:pt idx="9">
                  <c:v>728369006.11555696</c:v>
                </c:pt>
              </c:numCache>
            </c:numRef>
          </c:val>
        </c:ser>
        <c:hiLowLines/>
        <c:marker val="1"/>
        <c:axId val="135042176"/>
        <c:axId val="135043712"/>
      </c:lineChart>
      <c:catAx>
        <c:axId val="135009792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011328"/>
        <c:crosses val="autoZero"/>
        <c:auto val="1"/>
        <c:lblAlgn val="ctr"/>
        <c:lblOffset val="100"/>
        <c:tickLblSkip val="1"/>
        <c:tickMarkSkip val="1"/>
      </c:catAx>
      <c:valAx>
        <c:axId val="13501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\ _€_-;_-@_-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009792"/>
        <c:crosses val="autoZero"/>
        <c:crossBetween val="between"/>
        <c:dispUnits>
          <c:builtInUnit val="millions"/>
        </c:dispUnits>
      </c:valAx>
      <c:catAx>
        <c:axId val="135042176"/>
        <c:scaling>
          <c:orientation val="minMax"/>
        </c:scaling>
        <c:delete val="1"/>
        <c:axPos val="t"/>
        <c:numFmt formatCode="0.0,,&quot; M € &quot;" sourceLinked="1"/>
        <c:tickLblPos val="none"/>
        <c:crossAx val="135043712"/>
        <c:crosses val="max"/>
        <c:auto val="1"/>
        <c:lblAlgn val="ctr"/>
        <c:lblOffset val="100"/>
      </c:catAx>
      <c:valAx>
        <c:axId val="135043712"/>
        <c:scaling>
          <c:orientation val="minMax"/>
        </c:scaling>
        <c:delete val="1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Millions d'euros</a:t>
                </a:r>
              </a:p>
            </c:rich>
          </c:tx>
          <c:layout>
            <c:manualLayout>
              <c:xMode val="edge"/>
              <c:yMode val="edge"/>
              <c:x val="2.7938329930980842E-2"/>
              <c:y val="8.7595623580760312E-2"/>
            </c:manualLayout>
          </c:layout>
        </c:title>
        <c:numFmt formatCode="_-* #,##0.00\ _€_-;\-* #,##0.00\ _€_-;_-* &quot;-&quot;??\ _€_-;_-@_-" sourceLinked="1"/>
        <c:tickLblPos val="none"/>
        <c:crossAx val="135042176"/>
        <c:crosses val="max"/>
        <c:crossBetween val="between"/>
      </c:valAx>
      <c:spPr>
        <a:noFill/>
        <a:ln w="12700" cmpd="sng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220852882278604"/>
          <c:y val="0.89929281311746145"/>
          <c:w val="0.72532104598036351"/>
          <c:h val="8.16139667934764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EEECE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sur 10 ans du solde des remboursements</a:t>
            </a:r>
          </a:p>
        </c:rich>
      </c:tx>
      <c:layout>
        <c:manualLayout>
          <c:xMode val="edge"/>
          <c:yMode val="edge"/>
          <c:x val="0.22828549189971944"/>
          <c:y val="4.1820607746227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11608713745951"/>
          <c:y val="0.19618138424821002"/>
          <c:w val="0.81164843405563336"/>
          <c:h val="0.62571877799284659"/>
        </c:manualLayout>
      </c:layout>
      <c:lineChart>
        <c:grouping val="standard"/>
        <c:ser>
          <c:idx val="1"/>
          <c:order val="0"/>
          <c:tx>
            <c:strRef>
              <c:f>SOURCES!$B$83</c:f>
              <c:strCache>
                <c:ptCount val="1"/>
                <c:pt idx="0">
                  <c:v>Remboursements par la France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SOURCES!$A$97:$A$106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SOURCES!$B$97:$B$106</c:f>
              <c:numCache>
                <c:formatCode>_-* #,##0.00\ _€_-;\-* #,##0.00\ _€_-;_-* "-"??\ _€_-;_-@_-</c:formatCode>
                <c:ptCount val="10"/>
                <c:pt idx="0">
                  <c:v>226531557.68000001</c:v>
                </c:pt>
                <c:pt idx="1">
                  <c:v>212865101.44999999</c:v>
                </c:pt>
                <c:pt idx="2">
                  <c:v>180305946</c:v>
                </c:pt>
                <c:pt idx="3">
                  <c:v>255864874.65000001</c:v>
                </c:pt>
                <c:pt idx="4">
                  <c:v>216307253.97000003</c:v>
                </c:pt>
                <c:pt idx="5">
                  <c:v>409648172.82999998</c:v>
                </c:pt>
                <c:pt idx="6">
                  <c:v>324665451.60000002</c:v>
                </c:pt>
                <c:pt idx="7">
                  <c:v>441547445.95000005</c:v>
                </c:pt>
                <c:pt idx="8">
                  <c:v>345823986</c:v>
                </c:pt>
                <c:pt idx="9">
                  <c:v>246771098.74614868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SOURCES!$C$83</c:f>
              <c:strCache>
                <c:ptCount val="1"/>
                <c:pt idx="0">
                  <c:v>Remboursements à la France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SOURCES!$A$97:$A$106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SOURCES!$C$97:$C$106</c:f>
              <c:numCache>
                <c:formatCode>_-* #,##0.00\ _€_-;\-* #,##0.00\ _€_-;_-* "-"??\ _€_-;_-@_-</c:formatCode>
                <c:ptCount val="10"/>
                <c:pt idx="0">
                  <c:v>469396897.36000001</c:v>
                </c:pt>
                <c:pt idx="1">
                  <c:v>806689615.18000007</c:v>
                </c:pt>
                <c:pt idx="2">
                  <c:v>805973216.13999999</c:v>
                </c:pt>
                <c:pt idx="3">
                  <c:v>386125187.96999997</c:v>
                </c:pt>
                <c:pt idx="4">
                  <c:v>556141757.19000006</c:v>
                </c:pt>
                <c:pt idx="5">
                  <c:v>615019938.02999997</c:v>
                </c:pt>
                <c:pt idx="6">
                  <c:v>984672215.15999997</c:v>
                </c:pt>
                <c:pt idx="7">
                  <c:v>529700895.50000006</c:v>
                </c:pt>
                <c:pt idx="8">
                  <c:v>743080763</c:v>
                </c:pt>
                <c:pt idx="9">
                  <c:v>1033274056.8200001</c:v>
                </c:pt>
              </c:numCache>
            </c:numRef>
          </c:val>
          <c:smooth val="1"/>
        </c:ser>
        <c:hiLowLines>
          <c:spPr>
            <a:ln>
              <a:solidFill>
                <a:schemeClr val="tx1"/>
              </a:solidFill>
              <a:prstDash val="dash"/>
            </a:ln>
          </c:spPr>
        </c:hiLowLines>
        <c:marker val="1"/>
        <c:axId val="159649792"/>
        <c:axId val="159651328"/>
      </c:lineChart>
      <c:lineChart>
        <c:grouping val="standard"/>
        <c:ser>
          <c:idx val="4"/>
          <c:order val="2"/>
          <c:tx>
            <c:strRef>
              <c:f>SOURCES!$E$83</c:f>
              <c:strCache>
                <c:ptCount val="1"/>
                <c:pt idx="0">
                  <c:v>milieu ecart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fr-FR"/>
              </a:p>
            </c:txPr>
            <c:dLblPos val="ctr"/>
            <c:showCatName val="1"/>
          </c:dLbls>
          <c:cat>
            <c:numRef>
              <c:f>SOURCES!$D$97:$D$106</c:f>
              <c:numCache>
                <c:formatCode>0.0,," M € "</c:formatCode>
                <c:ptCount val="10"/>
                <c:pt idx="0">
                  <c:v>242865339.68000001</c:v>
                </c:pt>
                <c:pt idx="1">
                  <c:v>593824513.73000002</c:v>
                </c:pt>
                <c:pt idx="2">
                  <c:v>625667270.13999999</c:v>
                </c:pt>
                <c:pt idx="3">
                  <c:v>130260313.31999996</c:v>
                </c:pt>
                <c:pt idx="4">
                  <c:v>339834503.22000003</c:v>
                </c:pt>
                <c:pt idx="5">
                  <c:v>205371765.19999999</c:v>
                </c:pt>
                <c:pt idx="6">
                  <c:v>660006763.55999994</c:v>
                </c:pt>
                <c:pt idx="7">
                  <c:v>88153449.550000012</c:v>
                </c:pt>
                <c:pt idx="8">
                  <c:v>397256777</c:v>
                </c:pt>
                <c:pt idx="9">
                  <c:v>786502958.07385135</c:v>
                </c:pt>
              </c:numCache>
            </c:numRef>
          </c:cat>
          <c:val>
            <c:numRef>
              <c:f>SOURCES!$E$97:$E$106</c:f>
              <c:numCache>
                <c:formatCode>_-* #,##0.00\ _€_-;\-* #,##0.00\ _€_-;_-* "-"??\ _€_-;_-@_-</c:formatCode>
                <c:ptCount val="10"/>
                <c:pt idx="0">
                  <c:v>347964227.51999998</c:v>
                </c:pt>
                <c:pt idx="1">
                  <c:v>509777358.315</c:v>
                </c:pt>
                <c:pt idx="2">
                  <c:v>493139581.06999999</c:v>
                </c:pt>
                <c:pt idx="3">
                  <c:v>320995031.31</c:v>
                </c:pt>
                <c:pt idx="4">
                  <c:v>386224505.58000004</c:v>
                </c:pt>
                <c:pt idx="5">
                  <c:v>512334055.42999995</c:v>
                </c:pt>
                <c:pt idx="6">
                  <c:v>654668833.38</c:v>
                </c:pt>
                <c:pt idx="7">
                  <c:v>485624170.72500002</c:v>
                </c:pt>
                <c:pt idx="8">
                  <c:v>544452374.5</c:v>
                </c:pt>
                <c:pt idx="9">
                  <c:v>640022577.78307438</c:v>
                </c:pt>
              </c:numCache>
            </c:numRef>
          </c:val>
        </c:ser>
        <c:hiLowLines/>
        <c:marker val="1"/>
        <c:axId val="159653248"/>
        <c:axId val="159655424"/>
      </c:lineChart>
      <c:catAx>
        <c:axId val="159649792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651328"/>
        <c:crosses val="autoZero"/>
        <c:auto val="1"/>
        <c:lblAlgn val="ctr"/>
        <c:lblOffset val="100"/>
        <c:tickLblSkip val="1"/>
        <c:tickMarkSkip val="1"/>
      </c:catAx>
      <c:valAx>
        <c:axId val="15965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\ _€_-;_-@_-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649792"/>
        <c:crosses val="autoZero"/>
        <c:crossBetween val="between"/>
        <c:dispUnits>
          <c:builtInUnit val="millions"/>
        </c:dispUnits>
      </c:valAx>
      <c:catAx>
        <c:axId val="159653248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Millions d'euros</a:t>
                </a:r>
              </a:p>
            </c:rich>
          </c:tx>
          <c:layout>
            <c:manualLayout>
              <c:xMode val="edge"/>
              <c:yMode val="edge"/>
              <c:x val="3.7524916282016492E-2"/>
              <c:y val="0.11724728919624906"/>
            </c:manualLayout>
          </c:layout>
        </c:title>
        <c:numFmt formatCode="0.0,,&quot; M € &quot;" sourceLinked="1"/>
        <c:tickLblPos val="none"/>
        <c:crossAx val="159655424"/>
        <c:crosses val="max"/>
        <c:auto val="1"/>
        <c:lblAlgn val="ctr"/>
        <c:lblOffset val="100"/>
      </c:catAx>
      <c:valAx>
        <c:axId val="159655424"/>
        <c:scaling>
          <c:orientation val="minMax"/>
        </c:scaling>
        <c:delete val="1"/>
        <c:axPos val="r"/>
        <c:numFmt formatCode="_-* #,##0.00\ _€_-;\-* #,##0.00\ _€_-;_-* &quot;-&quot;??\ _€_-;_-@_-" sourceLinked="1"/>
        <c:tickLblPos val="none"/>
        <c:crossAx val="159653248"/>
        <c:crosses val="max"/>
        <c:crossBetween val="between"/>
      </c:valAx>
      <c:spPr>
        <a:noFill/>
        <a:ln w="12700" cmpd="sng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1425395963435605"/>
          <c:y val="0.92251191751389094"/>
          <c:w val="0.71782583039189085"/>
          <c:h val="6.47593633134756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EEECE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Soldes des paiements les plus significatifs en 2016 </a:t>
            </a:r>
          </a:p>
        </c:rich>
      </c:tx>
      <c:layout>
        <c:manualLayout>
          <c:xMode val="edge"/>
          <c:yMode val="edge"/>
          <c:x val="0.16423707501678569"/>
          <c:y val="4.02428728666981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85160202360867"/>
          <c:y val="0.16706443914081323"/>
          <c:w val="0.52276559865092753"/>
          <c:h val="0.79713603818615753"/>
        </c:manualLayout>
      </c:layout>
      <c:barChart>
        <c:barDir val="col"/>
        <c:grouping val="clustered"/>
        <c:ser>
          <c:idx val="0"/>
          <c:order val="0"/>
          <c:tx>
            <c:strRef>
              <c:f>SOURCES!$G$46</c:f>
              <c:strCache>
                <c:ptCount val="1"/>
                <c:pt idx="0">
                  <c:v>Positif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-2.0671834625323017E-3"/>
                  <c:y val="-2.4577572964669725E-2"/>
                </c:manualLayout>
              </c:layout>
              <c:dLblPos val="outEnd"/>
              <c:showCatName val="1"/>
            </c:dLbl>
            <c:dLbl>
              <c:idx val="2"/>
              <c:layout>
                <c:manualLayout>
                  <c:x val="-1.0335917312661499E-2"/>
                  <c:y val="-1.8433179723502315E-2"/>
                </c:manualLayout>
              </c:layout>
              <c:dLblPos val="outEnd"/>
              <c:showCatName val="1"/>
            </c:dLbl>
            <c:dLbl>
              <c:idx val="3"/>
              <c:layout>
                <c:manualLayout>
                  <c:x val="-2.2911311343813997E-3"/>
                  <c:y val="-3.0724385258294332E-3"/>
                </c:manualLayout>
              </c:layout>
              <c:dLblPos val="outEnd"/>
              <c:showCatName val="1"/>
            </c:dLbl>
            <c:dLbl>
              <c:idx val="5"/>
              <c:layout>
                <c:manualLayout>
                  <c:x val="1.1454753722794956E-2"/>
                  <c:y val="0"/>
                </c:manualLayout>
              </c:layout>
              <c:dLblPos val="outEnd"/>
              <c:showCatName val="1"/>
            </c:dLbl>
            <c:dLbl>
              <c:idx val="6"/>
              <c:layout>
                <c:manualLayout>
                  <c:x val="1.4454007202588053E-4"/>
                  <c:y val="7.3732718894009355E-2"/>
                </c:manualLayout>
              </c:layout>
              <c:dLblPos val="outEnd"/>
              <c:showCatName val="1"/>
            </c:dLbl>
            <c:dLbl>
              <c:idx val="7"/>
              <c:layout>
                <c:manualLayout>
                  <c:x val="2.8432236668090919E-2"/>
                  <c:y val="0.10138248847926278"/>
                </c:manualLayout>
              </c:layout>
              <c:dLblPos val="outEnd"/>
              <c:showCatName val="1"/>
            </c:dLbl>
            <c:dLbl>
              <c:idx val="8"/>
              <c:layout>
                <c:manualLayout>
                  <c:x val="3.9651671448045753E-2"/>
                  <c:y val="0.10920522031520262"/>
                </c:manualLayout>
              </c:layout>
              <c:dLblPos val="outEnd"/>
              <c:showCatName val="1"/>
            </c:dLbl>
            <c:spPr>
              <a:gradFill>
                <a:gsLst>
                  <a:gs pos="0">
                    <a:srgbClr val="8064A2">
                      <a:tint val="50000"/>
                      <a:satMod val="300000"/>
                    </a:srgbClr>
                  </a:gs>
                  <a:gs pos="35000">
                    <a:srgbClr val="8064A2">
                      <a:tint val="37000"/>
                      <a:satMod val="300000"/>
                    </a:srgbClr>
                  </a:gs>
                  <a:gs pos="100000">
                    <a:srgbClr val="8064A2">
                      <a:tint val="15000"/>
                      <a:satMod val="350000"/>
                    </a:srgbClr>
                  </a:gs>
                </a:gsLst>
                <a:lin ang="16200000" scaled="1"/>
              </a:gradFill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CatName val="1"/>
          </c:dLbls>
          <c:cat>
            <c:strRef>
              <c:f>SOURCES!$E$47:$E$55</c:f>
              <c:strCache>
                <c:ptCount val="9"/>
                <c:pt idx="0">
                  <c:v>Luxembourg</c:v>
                </c:pt>
                <c:pt idx="1">
                  <c:v>Royaume-Uni</c:v>
                </c:pt>
                <c:pt idx="2">
                  <c:v>Belgique</c:v>
                </c:pt>
                <c:pt idx="3">
                  <c:v>Allemagne</c:v>
                </c:pt>
                <c:pt idx="4">
                  <c:v>Italie</c:v>
                </c:pt>
                <c:pt idx="5">
                  <c:v>Pays-Bas</c:v>
                </c:pt>
                <c:pt idx="6">
                  <c:v>Liechtenstein</c:v>
                </c:pt>
                <c:pt idx="7">
                  <c:v>Norvège</c:v>
                </c:pt>
                <c:pt idx="8">
                  <c:v>Espagne</c:v>
                </c:pt>
              </c:strCache>
            </c:strRef>
          </c:cat>
          <c:val>
            <c:numRef>
              <c:f>SOURCES!$G$47:$G$55</c:f>
              <c:numCache>
                <c:formatCode>_-* #,##0.00\ _€_-;\-* #,##0.00\ _€_-;_-* "-"??\ _€_-;_-@_-</c:formatCode>
                <c:ptCount val="9"/>
                <c:pt idx="0">
                  <c:v>268753265.72572899</c:v>
                </c:pt>
                <c:pt idx="1">
                  <c:v>254386912.90016139</c:v>
                </c:pt>
                <c:pt idx="2">
                  <c:v>93343091.153999984</c:v>
                </c:pt>
                <c:pt idx="3">
                  <c:v>79383719.611513659</c:v>
                </c:pt>
                <c:pt idx="4">
                  <c:v>56347042.413173959</c:v>
                </c:pt>
                <c:pt idx="5">
                  <c:v>54915707.023984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SOURCES!$H$46</c:f>
              <c:strCache>
                <c:ptCount val="1"/>
                <c:pt idx="0">
                  <c:v>négatif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SOURCES!$E$47:$E$55</c:f>
              <c:strCache>
                <c:ptCount val="9"/>
                <c:pt idx="0">
                  <c:v>Luxembourg</c:v>
                </c:pt>
                <c:pt idx="1">
                  <c:v>Royaume-Uni</c:v>
                </c:pt>
                <c:pt idx="2">
                  <c:v>Belgique</c:v>
                </c:pt>
                <c:pt idx="3">
                  <c:v>Allemagne</c:v>
                </c:pt>
                <c:pt idx="4">
                  <c:v>Italie</c:v>
                </c:pt>
                <c:pt idx="5">
                  <c:v>Pays-Bas</c:v>
                </c:pt>
                <c:pt idx="6">
                  <c:v>Liechtenstein</c:v>
                </c:pt>
                <c:pt idx="7">
                  <c:v>Norvège</c:v>
                </c:pt>
                <c:pt idx="8">
                  <c:v>Espagne</c:v>
                </c:pt>
              </c:strCache>
            </c:strRef>
          </c:cat>
          <c:val>
            <c:numRef>
              <c:f>SOURCES!$H$47:$H$55</c:f>
              <c:numCache>
                <c:formatCode>_-* #,##0.00\ _€_-;\-* #,##0.00\ _€_-;_-* "-"??\ _€_-;_-@_-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-11012429.469999999</c:v>
                </c:pt>
                <c:pt idx="7">
                  <c:v>-23071365.455582839</c:v>
                </c:pt>
                <c:pt idx="8">
                  <c:v>-27496931.949999988</c:v>
                </c:pt>
              </c:numCache>
            </c:numRef>
          </c:val>
        </c:ser>
        <c:gapWidth val="50"/>
        <c:axId val="159780864"/>
        <c:axId val="159782400"/>
      </c:barChart>
      <c:dateAx>
        <c:axId val="159780864"/>
        <c:scaling>
          <c:orientation val="minMax"/>
        </c:scaling>
        <c:delete val="1"/>
        <c:axPos val="b"/>
        <c:tickLblPos val="none"/>
        <c:crossAx val="159782400"/>
        <c:crosses val="autoZero"/>
        <c:lblOffset val="100"/>
      </c:dateAx>
      <c:valAx>
        <c:axId val="159782400"/>
        <c:scaling>
          <c:orientation val="minMax"/>
          <c:min val="-800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780864"/>
        <c:crosses val="autoZero"/>
        <c:crossBetween val="between"/>
        <c:majorUnit val="4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Millions d'euros</a:t>
                  </a:r>
                </a:p>
              </c:rich>
            </c:tx>
          </c:dispUnitsLbl>
        </c:dispUnits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EEECE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Évolution sur 10 ans du solde des remboursements</a:t>
            </a:r>
          </a:p>
        </c:rich>
      </c:tx>
      <c:layout>
        <c:manualLayout>
          <c:xMode val="edge"/>
          <c:yMode val="edge"/>
          <c:x val="0.20626912249235441"/>
          <c:y val="3.1469479776566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77188524950363"/>
          <c:y val="0.18465811965811965"/>
          <c:w val="0.83852187426343416"/>
          <c:h val="0.60920418601520954"/>
        </c:manualLayout>
      </c:layout>
      <c:lineChart>
        <c:grouping val="standard"/>
        <c:ser>
          <c:idx val="0"/>
          <c:order val="0"/>
          <c:tx>
            <c:strRef>
              <c:f>SOURCES!$B$83</c:f>
              <c:strCache>
                <c:ptCount val="1"/>
                <c:pt idx="0">
                  <c:v>Remboursements par la France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SOURCES!$A$110:$A$119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SOURCES!$B$110:$B$119</c:f>
              <c:numCache>
                <c:formatCode>_-* #,##0.00\ _€_-;\-* #,##0.00\ _€_-;_-* "-"??\ _€_-;_-@_-</c:formatCode>
                <c:ptCount val="10"/>
                <c:pt idx="0">
                  <c:v>71494244.340000004</c:v>
                </c:pt>
                <c:pt idx="1">
                  <c:v>109141946.22</c:v>
                </c:pt>
                <c:pt idx="2">
                  <c:v>86366660.030000001</c:v>
                </c:pt>
                <c:pt idx="3">
                  <c:v>139926149.66</c:v>
                </c:pt>
                <c:pt idx="4">
                  <c:v>101201044.66</c:v>
                </c:pt>
                <c:pt idx="5">
                  <c:v>60150706.039999999</c:v>
                </c:pt>
                <c:pt idx="6">
                  <c:v>79786350.520000011</c:v>
                </c:pt>
                <c:pt idx="7">
                  <c:v>239661704.75</c:v>
                </c:pt>
                <c:pt idx="8">
                  <c:v>164938598</c:v>
                </c:pt>
                <c:pt idx="9">
                  <c:v>160228589.34496543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SOURCES!$C$83</c:f>
              <c:strCache>
                <c:ptCount val="1"/>
                <c:pt idx="0">
                  <c:v>Remboursements à la France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SOURCES!$A$110:$A$119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SOURCES!$C$110:$C$119</c:f>
              <c:numCache>
                <c:formatCode>_-* #,##0.00\ _€_-;\-* #,##0.00\ _€_-;_-* "-"??\ _€_-;_-@_-</c:formatCode>
                <c:ptCount val="10"/>
                <c:pt idx="0">
                  <c:v>13225197.57</c:v>
                </c:pt>
                <c:pt idx="1">
                  <c:v>26969949.490000002</c:v>
                </c:pt>
                <c:pt idx="2">
                  <c:v>13630860.200000001</c:v>
                </c:pt>
                <c:pt idx="3">
                  <c:v>38212767.460000001</c:v>
                </c:pt>
                <c:pt idx="4">
                  <c:v>9338656.620000001</c:v>
                </c:pt>
                <c:pt idx="5">
                  <c:v>10774230.140000001</c:v>
                </c:pt>
                <c:pt idx="6">
                  <c:v>5801093.5800000001</c:v>
                </c:pt>
                <c:pt idx="7">
                  <c:v>70054248.370000005</c:v>
                </c:pt>
                <c:pt idx="8">
                  <c:v>18822688</c:v>
                </c:pt>
                <c:pt idx="9">
                  <c:v>16464267.32</c:v>
                </c:pt>
              </c:numCache>
            </c:numRef>
          </c:val>
          <c:smooth val="1"/>
        </c:ser>
        <c:hiLowLines>
          <c:spPr>
            <a:ln>
              <a:prstDash val="dash"/>
            </a:ln>
          </c:spPr>
        </c:hiLowLines>
        <c:marker val="1"/>
        <c:axId val="160067968"/>
        <c:axId val="160069504"/>
      </c:lineChart>
      <c:lineChart>
        <c:grouping val="standard"/>
        <c:ser>
          <c:idx val="3"/>
          <c:order val="2"/>
          <c:tx>
            <c:strRef>
              <c:f>SOURCES!$E$83</c:f>
              <c:strCache>
                <c:ptCount val="1"/>
                <c:pt idx="0">
                  <c:v>milieu ecart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endParaRPr lang="fr-FR"/>
              </a:p>
            </c:txPr>
            <c:dLblPos val="ctr"/>
            <c:showCatName val="1"/>
          </c:dLbls>
          <c:cat>
            <c:numRef>
              <c:f>SOURCES!$D$110:$D$119</c:f>
              <c:numCache>
                <c:formatCode>0.0,," M € "</c:formatCode>
                <c:ptCount val="10"/>
                <c:pt idx="0">
                  <c:v>-58269046.770000003</c:v>
                </c:pt>
                <c:pt idx="1">
                  <c:v>-82171996.729999989</c:v>
                </c:pt>
                <c:pt idx="2">
                  <c:v>-72735799.829999998</c:v>
                </c:pt>
                <c:pt idx="3">
                  <c:v>-101713382.19999999</c:v>
                </c:pt>
                <c:pt idx="4">
                  <c:v>-91862388.039999992</c:v>
                </c:pt>
                <c:pt idx="5">
                  <c:v>-49376475.899999999</c:v>
                </c:pt>
                <c:pt idx="6">
                  <c:v>-73985256.940000013</c:v>
                </c:pt>
                <c:pt idx="7">
                  <c:v>-169607456.38</c:v>
                </c:pt>
                <c:pt idx="8">
                  <c:v>-146115910</c:v>
                </c:pt>
                <c:pt idx="9">
                  <c:v>-143764322.02496544</c:v>
                </c:pt>
              </c:numCache>
            </c:numRef>
          </c:cat>
          <c:val>
            <c:numRef>
              <c:f>SOURCES!$E$110:$E$119</c:f>
              <c:numCache>
                <c:formatCode>_-* #,##0.00\ _€_-;\-* #,##0.00\ _€_-;_-* "-"??\ _€_-;_-@_-</c:formatCode>
                <c:ptCount val="10"/>
                <c:pt idx="0">
                  <c:v>42359720.954999998</c:v>
                </c:pt>
                <c:pt idx="1">
                  <c:v>68055947.855000004</c:v>
                </c:pt>
                <c:pt idx="2">
                  <c:v>49998760.115000002</c:v>
                </c:pt>
                <c:pt idx="3">
                  <c:v>89069458.560000002</c:v>
                </c:pt>
                <c:pt idx="4">
                  <c:v>55269850.640000001</c:v>
                </c:pt>
                <c:pt idx="5">
                  <c:v>35462468.090000004</c:v>
                </c:pt>
                <c:pt idx="6">
                  <c:v>42793722.050000004</c:v>
                </c:pt>
                <c:pt idx="7">
                  <c:v>154857976.56</c:v>
                </c:pt>
                <c:pt idx="8">
                  <c:v>91880643</c:v>
                </c:pt>
                <c:pt idx="9">
                  <c:v>88346428.33248271</c:v>
                </c:pt>
              </c:numCache>
            </c:numRef>
          </c:val>
        </c:ser>
        <c:hiLowLines/>
        <c:marker val="1"/>
        <c:axId val="160088064"/>
        <c:axId val="160089600"/>
      </c:lineChart>
      <c:catAx>
        <c:axId val="16006796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069504"/>
        <c:crosses val="autoZero"/>
        <c:auto val="1"/>
        <c:lblAlgn val="ctr"/>
        <c:lblOffset val="100"/>
        <c:tickLblSkip val="1"/>
        <c:tickMarkSkip val="1"/>
      </c:catAx>
      <c:valAx>
        <c:axId val="16006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067968"/>
        <c:crosses val="autoZero"/>
        <c:crossBetween val="between"/>
        <c:dispUnits>
          <c:builtInUnit val="millions"/>
        </c:dispUnits>
      </c:valAx>
      <c:catAx>
        <c:axId val="160088064"/>
        <c:scaling>
          <c:orientation val="minMax"/>
        </c:scaling>
        <c:delete val="1"/>
        <c:axPos val="t"/>
        <c:numFmt formatCode="0.0,,&quot; M € &quot;" sourceLinked="1"/>
        <c:tickLblPos val="none"/>
        <c:crossAx val="160089600"/>
        <c:crosses val="max"/>
        <c:auto val="1"/>
        <c:lblAlgn val="ctr"/>
        <c:lblOffset val="100"/>
      </c:catAx>
      <c:valAx>
        <c:axId val="160089600"/>
        <c:scaling>
          <c:orientation val="minMax"/>
        </c:scaling>
        <c:delete val="1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Millions d'euros</a:t>
                </a:r>
              </a:p>
            </c:rich>
          </c:tx>
          <c:layout>
            <c:manualLayout>
              <c:xMode val="edge"/>
              <c:yMode val="edge"/>
              <c:x val="9.883351564784067E-3"/>
              <c:y val="9.8650985934450597E-2"/>
            </c:manualLayout>
          </c:layout>
        </c:title>
        <c:numFmt formatCode="_-* #,##0.00\ _€_-;\-* #,##0.00\ _€_-;_-* &quot;-&quot;??\ _€_-;_-@_-" sourceLinked="1"/>
        <c:tickLblPos val="none"/>
        <c:crossAx val="1600880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EEECE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Soldes des paiements les plus significatifs en 2016</a:t>
            </a:r>
          </a:p>
        </c:rich>
      </c:tx>
      <c:layout>
        <c:manualLayout>
          <c:xMode val="edge"/>
          <c:yMode val="edge"/>
          <c:x val="0.13131628649511601"/>
          <c:y val="3.46573627449111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052631578947523"/>
          <c:y val="0.17073170731707321"/>
          <c:w val="0.64511278195488719"/>
          <c:h val="0.79268292682926556"/>
        </c:manualLayout>
      </c:layout>
      <c:barChart>
        <c:barDir val="col"/>
        <c:grouping val="clustered"/>
        <c:ser>
          <c:idx val="0"/>
          <c:order val="0"/>
          <c:tx>
            <c:strRef>
              <c:f>SOURCES!$P$46</c:f>
              <c:strCache>
                <c:ptCount val="1"/>
                <c:pt idx="0">
                  <c:v>Positif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0"/>
              <c:layout>
                <c:manualLayout>
                  <c:x val="4.0740285513091369E-2"/>
                  <c:y val="0.79178890774246413"/>
                </c:manualLayout>
              </c:layout>
              <c:dLblPos val="outEnd"/>
              <c:showCatName val="1"/>
            </c:dLbl>
            <c:dLbl>
              <c:idx val="1"/>
              <c:layout>
                <c:manualLayout>
                  <c:x val="5.4654219768920639E-2"/>
                  <c:y val="0.64867374629018892"/>
                </c:manualLayout>
              </c:layout>
              <c:dLblPos val="outEnd"/>
              <c:showCatName val="1"/>
            </c:dLbl>
            <c:dLbl>
              <c:idx val="2"/>
              <c:layout>
                <c:manualLayout>
                  <c:x val="4.7862975890900279E-2"/>
                  <c:y val="0.29799927551428962"/>
                </c:manualLayout>
              </c:layout>
              <c:dLblPos val="outEnd"/>
              <c:showCatName val="1"/>
            </c:dLbl>
            <c:dLbl>
              <c:idx val="3"/>
              <c:layout>
                <c:manualLayout>
                  <c:x val="5.9529507265200086E-2"/>
                  <c:y val="0.205553882035932"/>
                </c:manualLayout>
              </c:layout>
              <c:dLblPos val="outEnd"/>
              <c:showCatName val="1"/>
            </c:dLbl>
            <c:dLbl>
              <c:idx val="4"/>
              <c:layout>
                <c:manualLayout>
                  <c:x val="5.0523797927320965E-2"/>
                  <c:y val="0.12028674381803975"/>
                </c:manualLayout>
              </c:layout>
              <c:dLblPos val="outEnd"/>
              <c:showCatName val="1"/>
            </c:dLbl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CatName val="1"/>
          </c:dLbls>
          <c:cat>
            <c:strRef>
              <c:f>SOURCES!$N$47:$N$51</c:f>
              <c:strCache>
                <c:ptCount val="5"/>
                <c:pt idx="0">
                  <c:v>Polynésie française </c:v>
                </c:pt>
                <c:pt idx="1">
                  <c:v>Algérie </c:v>
                </c:pt>
                <c:pt idx="2">
                  <c:v>Tunisie </c:v>
                </c:pt>
                <c:pt idx="3">
                  <c:v>Nouvelle Calédonie </c:v>
                </c:pt>
                <c:pt idx="4">
                  <c:v>Maroc</c:v>
                </c:pt>
              </c:strCache>
            </c:strRef>
          </c:cat>
          <c:val>
            <c:numRef>
              <c:f>SOURCES!$P$47:$P$51</c:f>
              <c:numCache>
                <c:formatCode>_-* #,##0.00\ _€_-;\-* #,##0.00\ _€_-;_-* "-"??\ _€_-;_-@_-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SOURCES!$Q$46</c:f>
              <c:strCache>
                <c:ptCount val="1"/>
                <c:pt idx="0">
                  <c:v>négatif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SOURCES!$N$47:$N$51</c:f>
              <c:strCache>
                <c:ptCount val="5"/>
                <c:pt idx="0">
                  <c:v>Polynésie française </c:v>
                </c:pt>
                <c:pt idx="1">
                  <c:v>Algérie </c:v>
                </c:pt>
                <c:pt idx="2">
                  <c:v>Tunisie </c:v>
                </c:pt>
                <c:pt idx="3">
                  <c:v>Nouvelle Calédonie </c:v>
                </c:pt>
                <c:pt idx="4">
                  <c:v>Maroc</c:v>
                </c:pt>
              </c:strCache>
            </c:strRef>
          </c:cat>
          <c:val>
            <c:numRef>
              <c:f>SOURCES!$Q$47:$Q$51</c:f>
              <c:numCache>
                <c:formatCode>_-* #,##0.00\ _€_-;\-* #,##0.00\ _€_-;_-* "-"??\ _€_-;_-@_-</c:formatCode>
                <c:ptCount val="5"/>
                <c:pt idx="0">
                  <c:v>-61403566.337475367</c:v>
                </c:pt>
                <c:pt idx="1">
                  <c:v>-48089310.995751292</c:v>
                </c:pt>
                <c:pt idx="2">
                  <c:v>-18937140.949368659</c:v>
                </c:pt>
                <c:pt idx="3">
                  <c:v>-12282885.54002</c:v>
                </c:pt>
                <c:pt idx="4">
                  <c:v>-4807359.0896728672</c:v>
                </c:pt>
              </c:numCache>
            </c:numRef>
          </c:val>
        </c:ser>
        <c:gapWidth val="50"/>
        <c:axId val="159964160"/>
        <c:axId val="159970048"/>
      </c:barChart>
      <c:dateAx>
        <c:axId val="159964160"/>
        <c:scaling>
          <c:orientation val="minMax"/>
        </c:scaling>
        <c:delete val="1"/>
        <c:axPos val="b"/>
        <c:tickLblPos val="none"/>
        <c:crossAx val="159970048"/>
        <c:crosses val="autoZero"/>
        <c:lblOffset val="100"/>
      </c:dateAx>
      <c:valAx>
        <c:axId val="15997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964160"/>
        <c:crosses val="autoZero"/>
        <c:crossBetween val="between"/>
        <c:majorUnit val="5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Millions d'euros</a:t>
                  </a:r>
                </a:p>
              </c:rich>
            </c:tx>
          </c:dispUnitsLbl>
        </c:dispUnits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CCFF"/>
        </a:gs>
        <a:gs pos="100000">
          <a:srgbClr val="CCCCFF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2,5 Milliards d'€ = Total des reboursements faits par le CLEISS à l'étranger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SOURCES!$A$2:$A$3</c:f>
              <c:strCache>
                <c:ptCount val="2"/>
                <c:pt idx="0">
                  <c:v>EEE</c:v>
                </c:pt>
                <c:pt idx="1">
                  <c:v>HORS EEE</c:v>
                </c:pt>
              </c:strCache>
            </c:strRef>
          </c:cat>
          <c:val>
            <c:numRef>
              <c:f>SOURCES!$B$2:$B$6</c:f>
              <c:numCache>
                <c:formatCode>_-* #,##0.00\ _€_-;\-* #,##0.00\ _€_-;_-* "-"??\ _€_-;_-@_-</c:formatCode>
                <c:ptCount val="5"/>
                <c:pt idx="0">
                  <c:v>2860330888.8761487</c:v>
                </c:pt>
                <c:pt idx="1">
                  <c:v>883982828.46498203</c:v>
                </c:pt>
                <c:pt idx="2">
                  <c:v>272764151.91998321</c:v>
                </c:pt>
                <c:pt idx="3">
                  <c:v>56149013.180000007</c:v>
                </c:pt>
                <c:pt idx="4">
                  <c:v>4073226882.4411139</c:v>
                </c:pt>
              </c:numCache>
            </c:numRef>
          </c:val>
        </c:ser>
        <c:firstSliceAng val="27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4,5 Milliards d'€ = Total des reboursements faits par les organisme étrangers au CLEISS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SOURCES!$A$2:$A$3</c:f>
              <c:strCache>
                <c:ptCount val="2"/>
                <c:pt idx="0">
                  <c:v>EEE</c:v>
                </c:pt>
                <c:pt idx="1">
                  <c:v>HORS EEE</c:v>
                </c:pt>
              </c:strCache>
            </c:strRef>
          </c:cat>
          <c:val>
            <c:numRef>
              <c:f>SOURCES!$C$2:$C$6</c:f>
              <c:numCache>
                <c:formatCode>_-* #,##0.00\ _€_-;\-* #,##0.00\ _€_-;_-* "-"??\ _€_-;_-@_-</c:formatCode>
                <c:ptCount val="5"/>
                <c:pt idx="0">
                  <c:v>6930074542.3499994</c:v>
                </c:pt>
                <c:pt idx="1">
                  <c:v>217526053.37067956</c:v>
                </c:pt>
                <c:pt idx="2">
                  <c:v>3103287.3093204428</c:v>
                </c:pt>
                <c:pt idx="3">
                  <c:v>2664618.0699999998</c:v>
                </c:pt>
                <c:pt idx="4">
                  <c:v>7153368501.0999994</c:v>
                </c:pt>
              </c:numCache>
            </c:numRef>
          </c:val>
        </c:ser>
        <c:dLbls>
          <c:showVal val="1"/>
        </c:dLbls>
        <c:firstSliceAng val="27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19</xdr:row>
      <xdr:rowOff>1</xdr:rowOff>
    </xdr:from>
    <xdr:to>
      <xdr:col>13</xdr:col>
      <xdr:colOff>0</xdr:colOff>
      <xdr:row>38</xdr:row>
      <xdr:rowOff>66675</xdr:rowOff>
    </xdr:to>
    <xdr:sp macro="" textlink="">
      <xdr:nvSpPr>
        <xdr:cNvPr id="3" name="Rectangle à coins arrondis 2"/>
        <xdr:cNvSpPr/>
      </xdr:nvSpPr>
      <xdr:spPr>
        <a:xfrm>
          <a:off x="76201" y="5295901"/>
          <a:ext cx="10010774" cy="31432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r>
            <a:rPr lang="fr-FR" sz="1100">
              <a:solidFill>
                <a:sysClr val="windowText" lastClr="000000"/>
              </a:solidFill>
            </a:rPr>
            <a:t>En 2016,</a:t>
          </a:r>
          <a:r>
            <a:rPr lang="fr-FR" sz="1100" baseline="0">
              <a:solidFill>
                <a:sysClr val="windowText" lastClr="000000"/>
              </a:solidFill>
            </a:rPr>
            <a:t> la France s'est acquittée de dettes pour un montant global avoisinant les  407 millions d'euros.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- 67,35% de ce montant concerne des remboursements de dépenses de soins de santé sur factures,  30,94% des remboursements forfaitaires et le reste des remboursements de contrôles médicaux et de frais de gestion ;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- 60,6% a pour origine un séjour ou une résidence permanente dans la zone de l'UE-EEE-Suisse et 39,4% dans les pays liés à la France par une convention bilatérale ou un décret de coordination (accords internationaux de sécurité sociale).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Dans le sens inverse, les organismes étrangers se sont acquittés auprès de la France d'un montant global de plus d'1 milliard d'euros de créances françaises réparties de la façon suivante :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 93,09% de dépenses de soins de santé sur présentation de factures , 5,75% sur présentation d'un forfait et 1,16% de frais de gestion.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 98,4% de ces paiements ont été effectués par les pays de la zone UE-EEE-Suisse .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18</xdr:row>
      <xdr:rowOff>142875</xdr:rowOff>
    </xdr:from>
    <xdr:to>
      <xdr:col>17</xdr:col>
      <xdr:colOff>371475</xdr:colOff>
      <xdr:row>45</xdr:row>
      <xdr:rowOff>152400</xdr:rowOff>
    </xdr:to>
    <xdr:sp macro="" textlink="">
      <xdr:nvSpPr>
        <xdr:cNvPr id="5" name="Rectangle à coins arrondis 4"/>
        <xdr:cNvSpPr/>
      </xdr:nvSpPr>
      <xdr:spPr>
        <a:xfrm>
          <a:off x="6753225" y="4667250"/>
          <a:ext cx="3429000" cy="473392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 2016, la balance des remboursements de la France est très largement exédentaire, de près de 643 millions d'euros, constituant en cela son plus haut sur la décennie.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Excepté l'exercice 2014, les remboursements à la France par les organismes étrangers ont toujours été, durant les 10 dernières années, supérieurs à ceux effectués par la France.  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A noter que 2014 est une année particulière à plusieurs titres : 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les paiements avec les organismes étrangers ont été arrêtés en novembre du fait du transfert de l' activité financière du Cleiss vers le CNSE ;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- des régularisations de comptes sont intervenues durant les commissions mixtes avec l'Algérie et la Serbie;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enfin, l'Espagne a bénéficié de renboursements plus importants compte tenu des retards de paiements  enregistrés en 2013.</a:t>
          </a:r>
        </a:p>
        <a:p>
          <a:pPr algn="ctr"/>
          <a:endParaRPr lang="fr-FR" sz="1100" b="1" baseline="0"/>
        </a:p>
      </xdr:txBody>
    </xdr:sp>
    <xdr:clientData/>
  </xdr:twoCellAnchor>
  <xdr:twoCellAnchor>
    <xdr:from>
      <xdr:col>0</xdr:col>
      <xdr:colOff>104775</xdr:colOff>
      <xdr:row>18</xdr:row>
      <xdr:rowOff>142875</xdr:rowOff>
    </xdr:from>
    <xdr:to>
      <xdr:col>11</xdr:col>
      <xdr:colOff>161925</xdr:colOff>
      <xdr:row>42</xdr:row>
      <xdr:rowOff>142875</xdr:rowOff>
    </xdr:to>
    <xdr:graphicFrame macro="">
      <xdr:nvGraphicFramePr>
        <xdr:cNvPr id="3662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28</xdr:row>
      <xdr:rowOff>28574</xdr:rowOff>
    </xdr:from>
    <xdr:to>
      <xdr:col>16</xdr:col>
      <xdr:colOff>0</xdr:colOff>
      <xdr:row>43</xdr:row>
      <xdr:rowOff>38100</xdr:rowOff>
    </xdr:to>
    <xdr:sp macro="" textlink="">
      <xdr:nvSpPr>
        <xdr:cNvPr id="7" name="Rectangle à coins arrondis 6"/>
        <xdr:cNvSpPr/>
      </xdr:nvSpPr>
      <xdr:spPr>
        <a:xfrm>
          <a:off x="7191375" y="6057899"/>
          <a:ext cx="4343400" cy="24384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En 2016, les différents pays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de l'UE-EEE-Suisse ont remboursé plus de 1 milliard d'euros à la France, ce qui constitue un record sur la décennie.</a:t>
          </a:r>
        </a:p>
        <a:p>
          <a:pPr algn="just"/>
          <a:endParaRPr lang="fr-FR"/>
        </a:p>
        <a:p>
          <a:pPr algn="just"/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Depuis 2007, les remboursements perçus par la France sont toujours supérieurs à ceux qu'ils ont effectués. (+786,5 millions d'euros en 2016)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66675</xdr:colOff>
      <xdr:row>26</xdr:row>
      <xdr:rowOff>19050</xdr:rowOff>
    </xdr:from>
    <xdr:to>
      <xdr:col>10</xdr:col>
      <xdr:colOff>142875</xdr:colOff>
      <xdr:row>50</xdr:row>
      <xdr:rowOff>123825</xdr:rowOff>
    </xdr:to>
    <xdr:graphicFrame macro="">
      <xdr:nvGraphicFramePr>
        <xdr:cNvPr id="35832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161924</xdr:rowOff>
    </xdr:from>
    <xdr:to>
      <xdr:col>13</xdr:col>
      <xdr:colOff>219075</xdr:colOff>
      <xdr:row>44</xdr:row>
      <xdr:rowOff>66676</xdr:rowOff>
    </xdr:to>
    <xdr:sp macro="" textlink="">
      <xdr:nvSpPr>
        <xdr:cNvPr id="7" name="Rectangle à coins arrondis 6"/>
        <xdr:cNvSpPr/>
      </xdr:nvSpPr>
      <xdr:spPr>
        <a:xfrm>
          <a:off x="47625" y="8143874"/>
          <a:ext cx="9791700" cy="552452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just"/>
          <a:r>
            <a:rPr lang="fr-F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 2016, dans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le cadre des règlements européens, les remboursements effectués par les organismes étrangers à la France sont plus de 4 fois supérieurs à ceux réalisés par la France au profit de ces mêmes organismes. </a:t>
          </a:r>
          <a:endParaRPr lang="fr-FR" sz="110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endParaRPr lang="fr-FR" sz="1100" i="0" baseline="0">
            <a:solidFill>
              <a:schemeClr val="tx2">
                <a:lumMod val="75000"/>
              </a:schemeClr>
            </a:solidFill>
          </a:endParaRPr>
        </a:p>
        <a:p>
          <a:pPr algn="ctr"/>
          <a:endParaRPr lang="fr-FR" sz="1100" i="0" baseline="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381000</xdr:colOff>
      <xdr:row>50</xdr:row>
      <xdr:rowOff>66675</xdr:rowOff>
    </xdr:from>
    <xdr:to>
      <xdr:col>8</xdr:col>
      <xdr:colOff>409575</xdr:colOff>
      <xdr:row>75</xdr:row>
      <xdr:rowOff>152400</xdr:rowOff>
    </xdr:to>
    <xdr:graphicFrame macro="">
      <xdr:nvGraphicFramePr>
        <xdr:cNvPr id="38176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133350</xdr:rowOff>
    </xdr:from>
    <xdr:to>
      <xdr:col>15</xdr:col>
      <xdr:colOff>76200</xdr:colOff>
      <xdr:row>39</xdr:row>
      <xdr:rowOff>28575</xdr:rowOff>
    </xdr:to>
    <xdr:graphicFrame macro="">
      <xdr:nvGraphicFramePr>
        <xdr:cNvPr id="3666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200025</xdr:colOff>
      <xdr:row>21</xdr:row>
      <xdr:rowOff>0</xdr:rowOff>
    </xdr:from>
    <xdr:to>
      <xdr:col>19</xdr:col>
      <xdr:colOff>0</xdr:colOff>
      <xdr:row>47</xdr:row>
      <xdr:rowOff>104776</xdr:rowOff>
    </xdr:to>
    <xdr:sp macro="" textlink="">
      <xdr:nvSpPr>
        <xdr:cNvPr id="6" name="Rectangle à coins arrondis 5"/>
        <xdr:cNvSpPr/>
      </xdr:nvSpPr>
      <xdr:spPr>
        <a:xfrm>
          <a:off x="6677025" y="4438650"/>
          <a:ext cx="2543175" cy="431482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r>
            <a:rPr lang="fr-FR" sz="1100">
              <a:solidFill>
                <a:sysClr val="windowText" lastClr="000000"/>
              </a:solidFill>
            </a:rPr>
            <a:t>Dans le 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cadre des accords internationaux, sur les 10 dernières années, les remboursements effectués par la France ont toujours été largement supérieurs à ceux effectués par les organismes étrangers ; le solde négatif le plus important ayant été atteint lors de l' exercice 2014.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 effet, les commissions 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mixtes intervenues avec l'Algérie et la Serbie avaient permis de régulariser les comptes de plusieurs années.</a:t>
          </a:r>
        </a:p>
        <a:p>
          <a:pPr algn="just"/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Plus généralement, ce sont nos relations historiques avec les pays du Maghreb ainsi que les décrets de coordination avec la Polynésie française et la Nouvelle-Calédonie, qui visent de nombreuses personnes et situations, qui expliquent  pour une très  grande part ce fort déséquilibre.</a:t>
          </a:r>
          <a:endParaRPr lang="fr-FR"/>
        </a:p>
        <a:p>
          <a:pPr algn="just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/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41</xdr:row>
      <xdr:rowOff>142875</xdr:rowOff>
    </xdr:from>
    <xdr:to>
      <xdr:col>7</xdr:col>
      <xdr:colOff>276225</xdr:colOff>
      <xdr:row>66</xdr:row>
      <xdr:rowOff>28575</xdr:rowOff>
    </xdr:to>
    <xdr:graphicFrame macro="">
      <xdr:nvGraphicFramePr>
        <xdr:cNvPr id="38125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33</xdr:row>
      <xdr:rowOff>104775</xdr:rowOff>
    </xdr:from>
    <xdr:to>
      <xdr:col>15</xdr:col>
      <xdr:colOff>28575</xdr:colOff>
      <xdr:row>40</xdr:row>
      <xdr:rowOff>19049</xdr:rowOff>
    </xdr:to>
    <xdr:sp macro="" textlink="">
      <xdr:nvSpPr>
        <xdr:cNvPr id="3" name="Rectangle à coins arrondis 2"/>
        <xdr:cNvSpPr/>
      </xdr:nvSpPr>
      <xdr:spPr>
        <a:xfrm>
          <a:off x="47625" y="6391275"/>
          <a:ext cx="8896350" cy="1047749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r>
            <a:rPr lang="fr-FR" sz="1100">
              <a:solidFill>
                <a:sysClr val="windowText" lastClr="000000"/>
              </a:solidFill>
            </a:rPr>
            <a:t>En 2016, dans</a:t>
          </a:r>
          <a:r>
            <a:rPr lang="fr-FR" sz="1100" baseline="0">
              <a:solidFill>
                <a:sysClr val="windowText" lastClr="000000"/>
              </a:solidFill>
            </a:rPr>
            <a:t> le cadre 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des accords internationaux, les remboursements effectués par la France sont près de 10 fois supérieurs à ceux réalisés par les organismes étrangers. </a:t>
          </a:r>
        </a:p>
        <a:p>
          <a:pPr algn="just"/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 sont nos relations historiques avec les pays du Maghreb ainsi que les décrets de coordination avec la Polynésie française et la Nouvelle-Calédonie, qui visent de nombreuses personnes et situations, qui expliquent  pour une très  grande part ce fort déséquilibre.</a:t>
          </a:r>
        </a:p>
        <a:p>
          <a:pPr algn="just"/>
          <a:endParaRPr lang="fr-FR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just"/>
          <a:r>
            <a:rPr lang="fr-FR" sz="1100" baseline="0"/>
            <a:t> 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0</xdr:rowOff>
    </xdr:from>
    <xdr:to>
      <xdr:col>5</xdr:col>
      <xdr:colOff>38100</xdr:colOff>
      <xdr:row>7</xdr:row>
      <xdr:rowOff>0</xdr:rowOff>
    </xdr:to>
    <xdr:graphicFrame macro="">
      <xdr:nvGraphicFramePr>
        <xdr:cNvPr id="38217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7</xdr:row>
      <xdr:rowOff>0</xdr:rowOff>
    </xdr:from>
    <xdr:to>
      <xdr:col>10</xdr:col>
      <xdr:colOff>733425</xdr:colOff>
      <xdr:row>7</xdr:row>
      <xdr:rowOff>0</xdr:rowOff>
    </xdr:to>
    <xdr:graphicFrame macro="">
      <xdr:nvGraphicFramePr>
        <xdr:cNvPr id="38217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P36"/>
  <sheetViews>
    <sheetView showGridLines="0" tabSelected="1" workbookViewId="0"/>
  </sheetViews>
  <sheetFormatPr baseColWidth="10" defaultRowHeight="12.75"/>
  <cols>
    <col min="2" max="2" width="4.42578125" bestFit="1" customWidth="1"/>
    <col min="3" max="3" width="130.28515625" customWidth="1"/>
  </cols>
  <sheetData>
    <row r="1" spans="1:16" ht="25.5" customHeight="1">
      <c r="A1" s="368" t="s">
        <v>227</v>
      </c>
    </row>
    <row r="2" spans="1:16" ht="12" customHeight="1"/>
    <row r="3" spans="1:16" ht="21" customHeight="1">
      <c r="B3" s="268" t="s">
        <v>195</v>
      </c>
      <c r="C3" s="265" t="s">
        <v>196</v>
      </c>
    </row>
    <row r="5" spans="1:16" ht="11.25" customHeight="1"/>
    <row r="6" spans="1:16" ht="11.25" customHeight="1"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8" customHeight="1">
      <c r="C7" s="258" t="s">
        <v>192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6">
      <c r="C9" s="263" t="s">
        <v>232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1:16"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16">
      <c r="C11" s="263" t="s">
        <v>231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ht="11.25" customHeight="1"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1.25" customHeight="1"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1:16" ht="18">
      <c r="C14" s="259" t="s">
        <v>187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1:16">
      <c r="C15" s="256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>
      <c r="C16" s="256" t="s">
        <v>233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3:16">
      <c r="C17" s="256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3:16">
      <c r="C18" s="256" t="s">
        <v>194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3:16">
      <c r="C19" s="256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3:16">
      <c r="C20" s="256" t="s">
        <v>253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3:16">
      <c r="C21" s="26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3:16">
      <c r="C22" s="256" t="s">
        <v>252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3:16"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3:16"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3:16" ht="11.25" customHeight="1"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3:16" ht="17.25" customHeight="1">
      <c r="C26" s="260" t="s">
        <v>193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3:16">
      <c r="C27" s="257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3:16">
      <c r="C28" s="264" t="s">
        <v>254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3:16">
      <c r="C29" s="257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3:16">
      <c r="C30" s="264" t="s">
        <v>234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3:16">
      <c r="C31" s="257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3:16">
      <c r="C32" s="264" t="s">
        <v>194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3:16">
      <c r="C33" s="257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3:16">
      <c r="C34" s="264" t="s">
        <v>255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3:16">
      <c r="C35" s="262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3:16">
      <c r="C36" s="264" t="s">
        <v>252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</sheetData>
  <hyperlinks>
    <hyperlink ref="C11" location="'Histo CNSE -tous pays'!A1" display="Evolution sur 10 ans des remboursements par le Cleiss à des organismes étrangers (et réciproquement), pour l'ensemble des pays  (accords internationaux et règlements européens)"/>
    <hyperlink ref="C16" location="'Histo CNSE - pays E.E.E'!A1" display="Evolution sur 10 ans des remboursements par le Cleiss/CNSE à des organismes étrangers (et réciproquement)"/>
    <hyperlink ref="C20" location="'CNSE - par pays(E.E.E)'!A1" display="Remboursements par le CNSE à des organismes étrangers (et réciproquement) en 2015"/>
    <hyperlink ref="C28" location="'Schéma des procédures'!A1" display="Shéma des procédures de remboursements en vigueur en 2001"/>
    <hyperlink ref="C30" location="'Histo CNSE-pays hors EEE'!A1" display="Evolution sur 10 ans des remboursements par le Cleiss/CNSE à des organismes étrangers (et réciproquement)"/>
    <hyperlink ref="C34" location="'CNSE-par pays(Hors EEE)'!A1" display="Remboursements par le CNSE à des organismes étrangers (et réciproquement) en 2015"/>
    <hyperlink ref="C18" location="'Histo CNSE - pays E.E.E'!A53" display="Evolution sur 10 ans du solde des remboursements"/>
    <hyperlink ref="C22" location="'CNSE - par pays(E.E.E)'!A73" display="Soldes des paiements les plus significatifs en 2015"/>
    <hyperlink ref="C32" location="'Histo CNSE-pays hors EEE'!A1" display="Evolution sur 10 ans du solde des remboursements"/>
    <hyperlink ref="C36" location="'CNSE-par pays(Hors EEE)'!A67" display="Soldes des paiements les plus significatifs en 2015"/>
    <hyperlink ref="C9" location="'CNSE - tous pays'!A1" display="Remboursements par le Cleiss/CNSE à des organismes étrangers (et réciproquement), pour l'ensemble des pays (accords internationaux et règlements européens)"/>
  </hyperlinks>
  <pageMargins left="0.25" right="0.25" top="0.17" bottom="0.18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92D050"/>
  </sheetPr>
  <dimension ref="A1:R29"/>
  <sheetViews>
    <sheetView showGridLines="0" topLeftCell="A7" workbookViewId="0">
      <selection activeCell="Q27" sqref="Q27"/>
    </sheetView>
  </sheetViews>
  <sheetFormatPr baseColWidth="10" defaultRowHeight="12.75"/>
  <cols>
    <col min="1" max="1" width="18.42578125" style="25" customWidth="1"/>
    <col min="2" max="2" width="12.7109375" style="25" customWidth="1"/>
    <col min="3" max="3" width="12.5703125" style="25" customWidth="1"/>
    <col min="4" max="6" width="11.28515625" style="25" customWidth="1"/>
    <col min="7" max="7" width="8.5703125" style="25" customWidth="1"/>
    <col min="8" max="9" width="12.7109375" style="25" customWidth="1"/>
    <col min="10" max="11" width="10.140625" style="25" customWidth="1"/>
    <col min="12" max="12" width="11.28515625" style="25" customWidth="1"/>
    <col min="13" max="13" width="8.140625" style="25" customWidth="1"/>
    <col min="14" max="14" width="10.5703125" style="25" bestFit="1" customWidth="1"/>
    <col min="15" max="15" width="5.28515625" style="25" customWidth="1"/>
    <col min="16" max="16" width="12.28515625" style="25" customWidth="1"/>
    <col min="17" max="17" width="9.85546875" style="25" customWidth="1"/>
    <col min="18" max="18" width="14" style="25" customWidth="1"/>
    <col min="19" max="16384" width="11.42578125" style="25"/>
  </cols>
  <sheetData>
    <row r="1" spans="1:18" ht="21" customHeight="1">
      <c r="A1" s="24" t="s">
        <v>243</v>
      </c>
    </row>
    <row r="2" spans="1:18" ht="15.75" customHeight="1">
      <c r="M2" s="416"/>
      <c r="N2" s="416"/>
    </row>
    <row r="3" spans="1:18" ht="15.75" customHeight="1">
      <c r="A3" s="367" t="s">
        <v>228</v>
      </c>
      <c r="M3" s="146"/>
      <c r="N3" s="146"/>
    </row>
    <row r="4" spans="1:18" ht="15.75" customHeight="1">
      <c r="A4" s="367" t="s">
        <v>263</v>
      </c>
      <c r="M4" s="146"/>
      <c r="N4" s="146"/>
    </row>
    <row r="5" spans="1:18" ht="15.75" customHeight="1">
      <c r="A5" s="367" t="s">
        <v>229</v>
      </c>
      <c r="M5" s="146"/>
      <c r="N5" s="146"/>
    </row>
    <row r="6" spans="1:18" ht="15.75" customHeight="1">
      <c r="A6" s="367" t="s">
        <v>230</v>
      </c>
      <c r="M6" s="146"/>
      <c r="N6" s="146"/>
    </row>
    <row r="7" spans="1:18" ht="15.75" customHeight="1">
      <c r="A7" s="369" t="s">
        <v>246</v>
      </c>
      <c r="B7" s="328"/>
      <c r="C7" s="328"/>
      <c r="D7" s="328"/>
      <c r="E7" s="328"/>
      <c r="F7" s="328"/>
      <c r="G7" s="328"/>
      <c r="H7" s="328"/>
      <c r="I7" s="328"/>
      <c r="J7" s="369"/>
      <c r="K7" s="369"/>
      <c r="M7" s="146"/>
      <c r="N7" s="146"/>
    </row>
    <row r="8" spans="1:18" ht="15.75" customHeight="1">
      <c r="M8" s="146"/>
      <c r="N8" s="146"/>
    </row>
    <row r="9" spans="1:18" ht="30.75" customHeight="1" thickBot="1">
      <c r="A9" s="417" t="s">
        <v>232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</row>
    <row r="10" spans="1:18" ht="45" customHeight="1" thickBot="1">
      <c r="A10" s="418" t="s">
        <v>0</v>
      </c>
      <c r="B10" s="410" t="s">
        <v>240</v>
      </c>
      <c r="C10" s="411"/>
      <c r="D10" s="411"/>
      <c r="E10" s="411"/>
      <c r="F10" s="411"/>
      <c r="G10" s="412"/>
      <c r="H10" s="413" t="s">
        <v>241</v>
      </c>
      <c r="I10" s="414"/>
      <c r="J10" s="414"/>
      <c r="K10" s="414"/>
      <c r="L10" s="414"/>
      <c r="M10" s="415"/>
      <c r="Q10" s="269" t="s">
        <v>197</v>
      </c>
    </row>
    <row r="11" spans="1:18" ht="35.25" customHeight="1" thickTop="1">
      <c r="A11" s="419"/>
      <c r="B11" s="421" t="s">
        <v>1</v>
      </c>
      <c r="C11" s="422"/>
      <c r="D11" s="427" t="s">
        <v>72</v>
      </c>
      <c r="E11" s="427" t="s">
        <v>259</v>
      </c>
      <c r="F11" s="425" t="s">
        <v>2</v>
      </c>
      <c r="G11" s="423" t="s">
        <v>95</v>
      </c>
      <c r="H11" s="421" t="s">
        <v>1</v>
      </c>
      <c r="I11" s="422"/>
      <c r="J11" s="427" t="s">
        <v>72</v>
      </c>
      <c r="K11" s="427" t="s">
        <v>259</v>
      </c>
      <c r="L11" s="425" t="s">
        <v>2</v>
      </c>
      <c r="M11" s="429" t="s">
        <v>95</v>
      </c>
    </row>
    <row r="12" spans="1:18" ht="18.75" customHeight="1" thickBot="1">
      <c r="A12" s="420"/>
      <c r="B12" s="286" t="s">
        <v>3</v>
      </c>
      <c r="C12" s="288" t="s">
        <v>4</v>
      </c>
      <c r="D12" s="428"/>
      <c r="E12" s="428"/>
      <c r="F12" s="426"/>
      <c r="G12" s="424"/>
      <c r="H12" s="286" t="s">
        <v>3</v>
      </c>
      <c r="I12" s="288" t="s">
        <v>4</v>
      </c>
      <c r="J12" s="428"/>
      <c r="K12" s="428"/>
      <c r="L12" s="426"/>
      <c r="M12" s="430"/>
      <c r="P12" s="328"/>
    </row>
    <row r="13" spans="1:18" ht="21" customHeight="1">
      <c r="A13" s="223" t="s">
        <v>174</v>
      </c>
      <c r="B13" s="229">
        <v>192390884.31630149</v>
      </c>
      <c r="C13" s="128">
        <v>49101121.782242149</v>
      </c>
      <c r="D13" s="102">
        <v>67110.369897531331</v>
      </c>
      <c r="E13" s="102">
        <v>5211982.2777074808</v>
      </c>
      <c r="F13" s="102">
        <f>B13+C13+D13+E13</f>
        <v>246771098.74614868</v>
      </c>
      <c r="G13" s="218">
        <f>F13/F15*100</f>
        <v>60.631766059463068</v>
      </c>
      <c r="H13" s="229">
        <v>970226707.84600008</v>
      </c>
      <c r="I13" s="230">
        <v>50938575.068999998</v>
      </c>
      <c r="J13" s="102">
        <v>8200.43</v>
      </c>
      <c r="K13" s="102">
        <v>12100573.475</v>
      </c>
      <c r="L13" s="102">
        <f>H13+I13+J13+K13</f>
        <v>1033274056.8200001</v>
      </c>
      <c r="M13" s="218">
        <f>L13/L15*100</f>
        <v>98.431583667911866</v>
      </c>
      <c r="P13" s="329"/>
      <c r="Q13" s="328"/>
      <c r="R13" s="328"/>
    </row>
    <row r="14" spans="1:18" ht="21" customHeight="1" thickBot="1">
      <c r="A14" s="224" t="s">
        <v>175</v>
      </c>
      <c r="B14" s="396">
        <f>'CNSE-par pays(Hors EEE)'!C30</f>
        <v>81720101.242013276</v>
      </c>
      <c r="C14" s="397">
        <f>'CNSE-par pays(Hors EEE)'!D30</f>
        <v>76840020.849531382</v>
      </c>
      <c r="D14" s="386">
        <f>'CNSE-par pays(Hors EEE)'!E30</f>
        <v>316.17648329600001</v>
      </c>
      <c r="E14" s="386">
        <f>'CNSE-par pays(Hors EEE)'!F30</f>
        <v>1668151.0769374573</v>
      </c>
      <c r="F14" s="386">
        <f>B14+C14+D14+E14</f>
        <v>160228589.34496543</v>
      </c>
      <c r="G14" s="219">
        <f>F14/F15*100</f>
        <v>39.368233940536932</v>
      </c>
      <c r="H14" s="231">
        <v>7017284.943</v>
      </c>
      <c r="I14" s="387">
        <v>9402465.199000001</v>
      </c>
      <c r="J14" s="386">
        <v>0</v>
      </c>
      <c r="K14" s="386">
        <v>44517.178</v>
      </c>
      <c r="L14" s="386">
        <f>H14+I14+J14+K14</f>
        <v>16464267.32</v>
      </c>
      <c r="M14" s="219">
        <f>L14/L15*100</f>
        <v>1.5684163320881306</v>
      </c>
      <c r="P14" s="67"/>
    </row>
    <row r="15" spans="1:18" ht="21" customHeight="1" thickBot="1">
      <c r="A15" s="225" t="s">
        <v>256</v>
      </c>
      <c r="B15" s="232">
        <f>SUM(B13:B14)</f>
        <v>274110985.5583148</v>
      </c>
      <c r="C15" s="129">
        <f>SUM(C13:C14)</f>
        <v>125941142.63177353</v>
      </c>
      <c r="D15" s="101">
        <f>SUM(D13:D14)</f>
        <v>67426.546380827334</v>
      </c>
      <c r="E15" s="101">
        <f>SUM(E13:E14)</f>
        <v>6880133.3546449384</v>
      </c>
      <c r="F15" s="101">
        <f>IF(B15+C15+D15+E15=F13+F14,F13+F14,"faux")</f>
        <v>406999688.0911141</v>
      </c>
      <c r="G15" s="220">
        <f>G13+G14</f>
        <v>100</v>
      </c>
      <c r="H15" s="232">
        <f>SUM(H13:H14)</f>
        <v>977243992.78900003</v>
      </c>
      <c r="I15" s="233">
        <f>SUM(I13:I14)</f>
        <v>60341040.267999999</v>
      </c>
      <c r="J15" s="103">
        <f>SUM(J13:J14)</f>
        <v>8200.43</v>
      </c>
      <c r="K15" s="101">
        <f>SUM(K13:K14)</f>
        <v>12145090.652999999</v>
      </c>
      <c r="L15" s="101">
        <f>IF(H15+I15+J15+K15=L13+L14,L13+L14,"faux")</f>
        <v>1049738324.1400001</v>
      </c>
      <c r="M15" s="284">
        <f>SUM(M13:M14)</f>
        <v>100</v>
      </c>
      <c r="N15" s="67"/>
    </row>
    <row r="16" spans="1:18" ht="21" customHeight="1" thickBot="1">
      <c r="A16" s="226" t="s">
        <v>95</v>
      </c>
      <c r="B16" s="234">
        <f>B15/$F15*100</f>
        <v>67.349188114598803</v>
      </c>
      <c r="C16" s="150">
        <f>C15/$F15*100</f>
        <v>30.94379340250978</v>
      </c>
      <c r="D16" s="149">
        <f>D15/$F15*100</f>
        <v>1.6566731708583696E-2</v>
      </c>
      <c r="E16" s="149">
        <f>E15/$F15*100</f>
        <v>1.6904517511828407</v>
      </c>
      <c r="F16" s="282">
        <f>B16+C16+D16+E16</f>
        <v>100</v>
      </c>
      <c r="G16" s="221"/>
      <c r="H16" s="234">
        <f>H15/$L15*100</f>
        <v>93.094056901238588</v>
      </c>
      <c r="I16" s="150">
        <f>I15/$L15*100</f>
        <v>5.7481982776454794</v>
      </c>
      <c r="J16" s="149">
        <f>J15/$L15*100</f>
        <v>7.8118801718687523E-4</v>
      </c>
      <c r="K16" s="149">
        <f>K15/$L15*100</f>
        <v>1.1569636330987425</v>
      </c>
      <c r="L16" s="282">
        <f>H16+I16+J16+K16</f>
        <v>100</v>
      </c>
      <c r="M16" s="285"/>
      <c r="N16" s="67"/>
      <c r="P16" s="154"/>
    </row>
    <row r="17" spans="1:17" ht="21" customHeight="1" thickBot="1">
      <c r="A17" s="227" t="s">
        <v>224</v>
      </c>
      <c r="B17" s="235">
        <v>371644986.64000005</v>
      </c>
      <c r="C17" s="65">
        <v>139057296.06999999</v>
      </c>
      <c r="D17" s="104">
        <v>60302.03</v>
      </c>
      <c r="E17" s="383" t="s">
        <v>103</v>
      </c>
      <c r="F17" s="104">
        <f>B17+C17+D17</f>
        <v>510762584.74000001</v>
      </c>
      <c r="G17" s="66"/>
      <c r="H17" s="235">
        <v>738275346.3549999</v>
      </c>
      <c r="I17" s="236">
        <v>23618099.327</v>
      </c>
      <c r="J17" s="104">
        <v>10006.42</v>
      </c>
      <c r="K17" s="383" t="s">
        <v>103</v>
      </c>
      <c r="L17" s="104">
        <f>H17+I17+J17</f>
        <v>761903452.10199988</v>
      </c>
      <c r="M17" s="66"/>
      <c r="N17" s="67"/>
      <c r="P17" s="67"/>
      <c r="Q17" s="318"/>
    </row>
    <row r="18" spans="1:17" ht="38.25" customHeight="1" thickBot="1">
      <c r="A18" s="228" t="s">
        <v>96</v>
      </c>
      <c r="B18" s="283">
        <f>IFERROR((B15-B17)/B17*100,"-")</f>
        <v>-26.243862984263295</v>
      </c>
      <c r="C18" s="63">
        <f>IFERROR((C15-C17)/C17*100,"-")</f>
        <v>-9.43219364169423</v>
      </c>
      <c r="D18" s="64">
        <f>IFERROR((D15-D17)/D17*100,"-")</f>
        <v>11.814720633496643</v>
      </c>
      <c r="E18" s="64" t="str">
        <f>IFERROR((E15-E17)/E17*100,"-")</f>
        <v>-</v>
      </c>
      <c r="F18" s="64">
        <f>IFERROR((F15-F17)/F17*100,"-")</f>
        <v>-20.315289284884809</v>
      </c>
      <c r="G18" s="222"/>
      <c r="H18" s="283">
        <f>IFERROR((H15-H17)/H17*100,"-")</f>
        <v>32.368498774045747</v>
      </c>
      <c r="I18" s="63">
        <f>IFERROR((I15-I17)/I17*100,"-")</f>
        <v>155.48643619691558</v>
      </c>
      <c r="J18" s="64">
        <f>IFERROR((J15-J17)/J17*100,"-")</f>
        <v>-18.048312983064871</v>
      </c>
      <c r="K18" s="64" t="str">
        <f>IFERROR((K15-K17)/K17*100,"-")</f>
        <v>-</v>
      </c>
      <c r="L18" s="64">
        <f>IFERROR((L15-L17)/L17*100,"-")</f>
        <v>37.778391900430229</v>
      </c>
      <c r="M18" s="222"/>
      <c r="P18" s="154"/>
    </row>
    <row r="19" spans="1:17">
      <c r="Q19" s="67"/>
    </row>
    <row r="20" spans="1:17">
      <c r="Q20" s="67"/>
    </row>
    <row r="21" spans="1:17">
      <c r="Q21" s="67"/>
    </row>
    <row r="22" spans="1:17">
      <c r="N22" s="67"/>
    </row>
    <row r="24" spans="1:17">
      <c r="N24" s="67"/>
      <c r="P24" s="67"/>
    </row>
    <row r="25" spans="1:17">
      <c r="P25" s="67"/>
    </row>
    <row r="26" spans="1:17">
      <c r="P26" s="67"/>
    </row>
    <row r="28" spans="1:17">
      <c r="G28" s="67"/>
      <c r="H28" s="67"/>
      <c r="I28" s="289"/>
    </row>
    <row r="29" spans="1:17">
      <c r="H29" s="67"/>
    </row>
  </sheetData>
  <mergeCells count="15">
    <mergeCell ref="B10:G10"/>
    <mergeCell ref="H10:M10"/>
    <mergeCell ref="M2:N2"/>
    <mergeCell ref="A9:N9"/>
    <mergeCell ref="A10:A12"/>
    <mergeCell ref="B11:C11"/>
    <mergeCell ref="G11:G12"/>
    <mergeCell ref="F11:F12"/>
    <mergeCell ref="D11:D12"/>
    <mergeCell ref="J11:J12"/>
    <mergeCell ref="E11:E12"/>
    <mergeCell ref="K11:K12"/>
    <mergeCell ref="H11:I11"/>
    <mergeCell ref="M11:M12"/>
    <mergeCell ref="L11:L12"/>
  </mergeCells>
  <phoneticPr fontId="9" type="noConversion"/>
  <hyperlinks>
    <hyperlink ref="Q10" location="Accueil!A1" display="Retour à l'accueil"/>
  </hyperlinks>
  <pageMargins left="0" right="0" top="0" bottom="0" header="0" footer="0"/>
  <pageSetup paperSize="9" scale="75" orientation="landscape" r:id="rId1"/>
  <headerFooter alignWithMargins="0"/>
  <ignoredErrors>
    <ignoredError sqref="L15 F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92D050"/>
  </sheetPr>
  <dimension ref="A1:W38"/>
  <sheetViews>
    <sheetView showGridLines="0" zoomScaleNormal="100" workbookViewId="0"/>
  </sheetViews>
  <sheetFormatPr baseColWidth="10" defaultRowHeight="12.75"/>
  <cols>
    <col min="1" max="1" width="8" style="25" customWidth="1"/>
    <col min="2" max="2" width="11.140625" style="25" customWidth="1"/>
    <col min="3" max="3" width="5.7109375" style="25" customWidth="1"/>
    <col min="4" max="4" width="11.5703125" style="25" customWidth="1"/>
    <col min="5" max="5" width="6" style="25" customWidth="1"/>
    <col min="6" max="7" width="8.140625" style="25" customWidth="1"/>
    <col min="8" max="8" width="11.28515625" style="25" customWidth="1"/>
    <col min="9" max="9" width="6.28515625" style="25" customWidth="1"/>
    <col min="10" max="10" width="12" style="25" customWidth="1"/>
    <col min="11" max="11" width="7.28515625" style="25" customWidth="1"/>
    <col min="12" max="12" width="11.5703125" style="25" customWidth="1"/>
    <col min="13" max="13" width="4.28515625" style="25" customWidth="1"/>
    <col min="14" max="14" width="8.140625" style="25" customWidth="1"/>
    <col min="15" max="15" width="9.28515625" style="25" customWidth="1"/>
    <col min="16" max="16" width="11.140625" style="25" customWidth="1"/>
    <col min="17" max="17" width="7.140625" style="25" customWidth="1"/>
    <col min="18" max="18" width="11.42578125" style="25"/>
    <col min="19" max="19" width="12.7109375" style="25" bestFit="1" customWidth="1"/>
    <col min="20" max="16384" width="11.42578125" style="25"/>
  </cols>
  <sheetData>
    <row r="1" spans="1:20" ht="20.25">
      <c r="A1" s="24" t="s">
        <v>243</v>
      </c>
    </row>
    <row r="2" spans="1:20" ht="18.75" customHeight="1">
      <c r="P2" s="146"/>
    </row>
    <row r="3" spans="1:20" ht="30.75" customHeight="1" thickBot="1">
      <c r="A3" s="431" t="s">
        <v>231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S3" s="269" t="s">
        <v>197</v>
      </c>
    </row>
    <row r="4" spans="1:20" ht="35.25" customHeight="1" thickTop="1">
      <c r="A4" s="438" t="s">
        <v>49</v>
      </c>
      <c r="B4" s="441" t="s">
        <v>240</v>
      </c>
      <c r="C4" s="442"/>
      <c r="D4" s="442"/>
      <c r="E4" s="442"/>
      <c r="F4" s="442"/>
      <c r="G4" s="442"/>
      <c r="H4" s="442"/>
      <c r="I4" s="443"/>
      <c r="J4" s="444" t="s">
        <v>241</v>
      </c>
      <c r="K4" s="445"/>
      <c r="L4" s="445"/>
      <c r="M4" s="445"/>
      <c r="N4" s="445"/>
      <c r="O4" s="445"/>
      <c r="P4" s="445"/>
      <c r="Q4" s="446"/>
    </row>
    <row r="5" spans="1:20" ht="28.5" customHeight="1">
      <c r="A5" s="439"/>
      <c r="B5" s="447" t="s">
        <v>1</v>
      </c>
      <c r="C5" s="448"/>
      <c r="D5" s="449"/>
      <c r="E5" s="450"/>
      <c r="F5" s="452" t="s">
        <v>72</v>
      </c>
      <c r="G5" s="435" t="s">
        <v>259</v>
      </c>
      <c r="H5" s="432" t="s">
        <v>63</v>
      </c>
      <c r="I5" s="453" t="s">
        <v>101</v>
      </c>
      <c r="J5" s="447" t="s">
        <v>1</v>
      </c>
      <c r="K5" s="448"/>
      <c r="L5" s="449"/>
      <c r="M5" s="450"/>
      <c r="N5" s="452" t="s">
        <v>72</v>
      </c>
      <c r="O5" s="435" t="s">
        <v>259</v>
      </c>
      <c r="P5" s="432" t="s">
        <v>63</v>
      </c>
      <c r="Q5" s="453" t="s">
        <v>101</v>
      </c>
    </row>
    <row r="6" spans="1:20" ht="34.5" customHeight="1">
      <c r="A6" s="439"/>
      <c r="B6" s="451"/>
      <c r="C6" s="449"/>
      <c r="D6" s="449"/>
      <c r="E6" s="450"/>
      <c r="F6" s="436"/>
      <c r="G6" s="436"/>
      <c r="H6" s="433"/>
      <c r="I6" s="454"/>
      <c r="J6" s="451"/>
      <c r="K6" s="449"/>
      <c r="L6" s="449"/>
      <c r="M6" s="450"/>
      <c r="N6" s="436"/>
      <c r="O6" s="436"/>
      <c r="P6" s="433"/>
      <c r="Q6" s="454"/>
    </row>
    <row r="7" spans="1:20" ht="24.75" customHeight="1">
      <c r="A7" s="440"/>
      <c r="B7" s="142" t="s">
        <v>3</v>
      </c>
      <c r="C7" s="142" t="s">
        <v>94</v>
      </c>
      <c r="D7" s="142" t="s">
        <v>4</v>
      </c>
      <c r="E7" s="142" t="s">
        <v>94</v>
      </c>
      <c r="F7" s="437"/>
      <c r="G7" s="437"/>
      <c r="H7" s="434"/>
      <c r="I7" s="455"/>
      <c r="J7" s="142" t="s">
        <v>3</v>
      </c>
      <c r="K7" s="142" t="s">
        <v>94</v>
      </c>
      <c r="L7" s="142" t="s">
        <v>4</v>
      </c>
      <c r="M7" s="142" t="s">
        <v>94</v>
      </c>
      <c r="N7" s="437"/>
      <c r="O7" s="437"/>
      <c r="P7" s="434"/>
      <c r="Q7" s="455"/>
    </row>
    <row r="8" spans="1:20">
      <c r="A8" s="54" t="s">
        <v>58</v>
      </c>
      <c r="B8" s="132">
        <f>'Histo CNSE - pays E.E.E'!B15+'Histo CNSE-pays hors EEE'!B10</f>
        <v>162734319.81999999</v>
      </c>
      <c r="C8" s="61">
        <f t="shared" ref="C8:C15" si="0">B8/H8*100</f>
        <v>54.604104314793247</v>
      </c>
      <c r="D8" s="133">
        <f>'Histo CNSE - pays E.E.E'!D15+'Histo CNSE-pays hors EEE'!D10</f>
        <v>135233551.24000001</v>
      </c>
      <c r="E8" s="61">
        <f t="shared" ref="E8:E15" si="1">D8/H8*100</f>
        <v>45.37645744878315</v>
      </c>
      <c r="F8" s="133">
        <f>'Histo CNSE - pays E.E.E'!F15+'Histo CNSE-pays hors EEE'!F10</f>
        <v>57930.96</v>
      </c>
      <c r="G8" s="401" t="s">
        <v>103</v>
      </c>
      <c r="H8" s="68">
        <f>SUM(B8,D8,F8,G8)</f>
        <v>298025802.01999998</v>
      </c>
      <c r="I8" s="85"/>
      <c r="J8" s="133">
        <f>'Histo CNSE - pays E.E.E'!J15+'Histo CNSE-pays hors EEE'!J10</f>
        <v>287515082.22000003</v>
      </c>
      <c r="K8" s="61">
        <f t="shared" ref="K8:K16" si="2">J8/P8*100</f>
        <v>59.573543200856051</v>
      </c>
      <c r="L8" s="133">
        <f>'Histo CNSE - pays E.E.E'!L15+'Histo CNSE-pays hors EEE'!L10</f>
        <v>195106907.52000001</v>
      </c>
      <c r="M8" s="61">
        <f t="shared" ref="M8:M16" si="3">L8/P8*100</f>
        <v>40.42643500362297</v>
      </c>
      <c r="N8" s="133">
        <f>'Histo CNSE - pays E.E.E'!N15+'Histo CNSE-pays hors EEE'!N10</f>
        <v>105.19</v>
      </c>
      <c r="O8" s="401" t="s">
        <v>103</v>
      </c>
      <c r="P8" s="68">
        <f>SUM(J8,L8,N8,O8)</f>
        <v>482622094.93000001</v>
      </c>
      <c r="Q8" s="85"/>
    </row>
    <row r="9" spans="1:20">
      <c r="A9" s="54" t="s">
        <v>80</v>
      </c>
      <c r="B9" s="132">
        <f>'Histo CNSE - pays E.E.E'!B16+'Histo CNSE-pays hors EEE'!B11</f>
        <v>161952702.87</v>
      </c>
      <c r="C9" s="61">
        <f t="shared" si="0"/>
        <v>50.294769646151572</v>
      </c>
      <c r="D9" s="133">
        <f>'Histo CNSE - pays E.E.E'!D16+'Histo CNSE-pays hors EEE'!D11</f>
        <v>160010108.88999999</v>
      </c>
      <c r="E9" s="61">
        <f t="shared" si="1"/>
        <v>49.691492794276328</v>
      </c>
      <c r="F9" s="133">
        <f>'Histo CNSE - pays E.E.E'!F16+'Histo CNSE-pays hors EEE'!F11</f>
        <v>44235.91</v>
      </c>
      <c r="G9" s="401" t="s">
        <v>103</v>
      </c>
      <c r="H9" s="68">
        <f t="shared" ref="H9:H17" si="4">SUM(B9,D9,F9,G9)</f>
        <v>322007047.67000002</v>
      </c>
      <c r="I9" s="85">
        <f t="shared" ref="I9:I15" si="5">(H9-H8)/H8*100</f>
        <v>8.0467011538788498</v>
      </c>
      <c r="J9" s="133">
        <f>'Histo CNSE - pays E.E.E'!J16+'Histo CNSE-pays hors EEE'!J11</f>
        <v>402609808.03000003</v>
      </c>
      <c r="K9" s="61">
        <f t="shared" si="2"/>
        <v>48.294270838165346</v>
      </c>
      <c r="L9" s="133">
        <f>'Histo CNSE - pays E.E.E'!L16+'Histo CNSE-pays hors EEE'!L11</f>
        <v>431049756.63999999</v>
      </c>
      <c r="M9" s="61">
        <f t="shared" si="3"/>
        <v>51.705729161834647</v>
      </c>
      <c r="N9" s="133">
        <f>'Histo CNSE - pays E.E.E'!N16+'Histo CNSE-pays hors EEE'!N11</f>
        <v>0</v>
      </c>
      <c r="O9" s="401" t="s">
        <v>103</v>
      </c>
      <c r="P9" s="68">
        <f t="shared" ref="P9:P17" si="6">SUM(J9,L9,N9,O9)</f>
        <v>833659564.67000008</v>
      </c>
      <c r="Q9" s="85">
        <f t="shared" ref="Q9:Q16" si="7">(P9-P8)/P8*100</f>
        <v>72.735474282609232</v>
      </c>
      <c r="R9" s="67"/>
      <c r="S9" s="67"/>
    </row>
    <row r="10" spans="1:20">
      <c r="A10" s="54" t="s">
        <v>108</v>
      </c>
      <c r="B10" s="132">
        <f>'Histo CNSE - pays E.E.E'!B17+'Histo CNSE-pays hors EEE'!B12</f>
        <v>157304687.03999999</v>
      </c>
      <c r="C10" s="61">
        <f t="shared" si="0"/>
        <v>58.987943824385034</v>
      </c>
      <c r="D10" s="133">
        <f>'Histo CNSE - pays E.E.E'!D17+'Histo CNSE-pays hors EEE'!D12</f>
        <v>109342509.34999999</v>
      </c>
      <c r="E10" s="61">
        <f t="shared" si="1"/>
        <v>41.002527772837396</v>
      </c>
      <c r="F10" s="133">
        <f>'Histo CNSE - pays E.E.E'!F17+'Histo CNSE-pays hors EEE'!F12</f>
        <v>25409.64</v>
      </c>
      <c r="G10" s="401" t="s">
        <v>103</v>
      </c>
      <c r="H10" s="68">
        <f t="shared" si="4"/>
        <v>266672606.02999997</v>
      </c>
      <c r="I10" s="85">
        <f t="shared" si="5"/>
        <v>-17.184233090670737</v>
      </c>
      <c r="J10" s="133">
        <f>'Histo CNSE - pays E.E.E'!J17+'Histo CNSE-pays hors EEE'!J12</f>
        <v>452516011.56</v>
      </c>
      <c r="K10" s="61">
        <f t="shared" si="2"/>
        <v>55.211537451197444</v>
      </c>
      <c r="L10" s="133">
        <f>'Histo CNSE - pays E.E.E'!L17+'Histo CNSE-pays hors EEE'!L12</f>
        <v>367088064.78000003</v>
      </c>
      <c r="M10" s="61">
        <f t="shared" si="3"/>
        <v>44.788462548802556</v>
      </c>
      <c r="N10" s="133">
        <f>'Histo CNSE - pays E.E.E'!N17+'Histo CNSE-pays hors EEE'!N12</f>
        <v>0</v>
      </c>
      <c r="O10" s="401" t="s">
        <v>103</v>
      </c>
      <c r="P10" s="68">
        <f t="shared" si="6"/>
        <v>819604076.34000003</v>
      </c>
      <c r="Q10" s="85">
        <f t="shared" si="7"/>
        <v>-1.6859985689198971</v>
      </c>
      <c r="R10" s="67"/>
      <c r="S10" s="67"/>
    </row>
    <row r="11" spans="1:20">
      <c r="A11" s="54" t="s">
        <v>176</v>
      </c>
      <c r="B11" s="132">
        <f>'Histo CNSE - pays E.E.E'!B18+'Histo CNSE-pays hors EEE'!B13</f>
        <v>187383281.68000001</v>
      </c>
      <c r="C11" s="61">
        <f t="shared" si="0"/>
        <v>47.343994727185532</v>
      </c>
      <c r="D11" s="133">
        <f>'Histo CNSE - pays E.E.E'!D18+'Histo CNSE-pays hors EEE'!D13</f>
        <v>208343176.94999999</v>
      </c>
      <c r="E11" s="61">
        <f t="shared" si="1"/>
        <v>52.639692199491861</v>
      </c>
      <c r="F11" s="133">
        <f>'Histo CNSE - pays E.E.E'!F18+'Histo CNSE-pays hors EEE'!F13</f>
        <v>64565.68</v>
      </c>
      <c r="G11" s="401" t="s">
        <v>103</v>
      </c>
      <c r="H11" s="68">
        <f t="shared" si="4"/>
        <v>395791024.31</v>
      </c>
      <c r="I11" s="85">
        <f t="shared" si="5"/>
        <v>48.418328452332496</v>
      </c>
      <c r="J11" s="133">
        <f>'Histo CNSE - pays E.E.E'!J18+'Histo CNSE-pays hors EEE'!J13</f>
        <v>270253165.87</v>
      </c>
      <c r="K11" s="61">
        <f t="shared" si="2"/>
        <v>63.688190606503902</v>
      </c>
      <c r="L11" s="133">
        <f>'Histo CNSE - pays E.E.E'!L18+'Histo CNSE-pays hors EEE'!L13</f>
        <v>154078134.55000001</v>
      </c>
      <c r="M11" s="61">
        <f t="shared" si="3"/>
        <v>36.310241065724604</v>
      </c>
      <c r="N11" s="133">
        <f>'Histo CNSE - pays E.E.E'!N18+'Histo CNSE-pays hors EEE'!N13</f>
        <v>6655.01</v>
      </c>
      <c r="O11" s="401" t="s">
        <v>103</v>
      </c>
      <c r="P11" s="68">
        <f t="shared" si="6"/>
        <v>424337955.43000001</v>
      </c>
      <c r="Q11" s="85">
        <f t="shared" si="7"/>
        <v>-48.226470843713813</v>
      </c>
      <c r="R11" s="67"/>
      <c r="S11" s="67"/>
    </row>
    <row r="12" spans="1:20">
      <c r="A12" s="54" t="s">
        <v>189</v>
      </c>
      <c r="B12" s="132">
        <f>'Histo CNSE - pays E.E.E'!B19+'Histo CNSE-pays hors EEE'!B14</f>
        <v>166763306.56999999</v>
      </c>
      <c r="C12" s="61">
        <f t="shared" si="0"/>
        <v>52.522503282452234</v>
      </c>
      <c r="D12" s="133">
        <f>'Histo CNSE - pays E.E.E'!D19+'Histo CNSE-pays hors EEE'!D14</f>
        <v>150738831.50999999</v>
      </c>
      <c r="E12" s="61">
        <f t="shared" si="1"/>
        <v>47.47555643755301</v>
      </c>
      <c r="F12" s="133">
        <f>'Histo CNSE - pays E.E.E'!F19+'Histo CNSE-pays hors EEE'!F14</f>
        <v>6160.55</v>
      </c>
      <c r="G12" s="401" t="s">
        <v>103</v>
      </c>
      <c r="H12" s="68">
        <f t="shared" si="4"/>
        <v>317508298.63</v>
      </c>
      <c r="I12" s="85">
        <f t="shared" si="5"/>
        <v>-19.778802669028117</v>
      </c>
      <c r="J12" s="133">
        <f>'Histo CNSE - pays E.E.E'!J19+'Histo CNSE-pays hors EEE'!J14</f>
        <v>341065125.62</v>
      </c>
      <c r="K12" s="61">
        <f t="shared" si="2"/>
        <v>60.314224381712535</v>
      </c>
      <c r="L12" s="133">
        <f>'Histo CNSE - pays E.E.E'!L19+'Histo CNSE-pays hors EEE'!L14</f>
        <v>224413629.97</v>
      </c>
      <c r="M12" s="61">
        <f t="shared" si="3"/>
        <v>39.685482377361772</v>
      </c>
      <c r="N12" s="133">
        <f>'Histo CNSE - pays E.E.E'!N19+'Histo CNSE-pays hors EEE'!N14</f>
        <v>1658.22</v>
      </c>
      <c r="O12" s="401" t="s">
        <v>103</v>
      </c>
      <c r="P12" s="68">
        <f t="shared" si="6"/>
        <v>565480413.81000006</v>
      </c>
      <c r="Q12" s="85">
        <f t="shared" si="7"/>
        <v>33.26180384617593</v>
      </c>
      <c r="R12" s="67"/>
      <c r="S12" s="67"/>
    </row>
    <row r="13" spans="1:20">
      <c r="A13" s="54" t="s">
        <v>199</v>
      </c>
      <c r="B13" s="132">
        <f>'Histo CNSE - pays E.E.E'!B20+'Histo CNSE-pays hors EEE'!B15</f>
        <v>342217358.77999997</v>
      </c>
      <c r="C13" s="61">
        <f t="shared" si="0"/>
        <v>72.843374935915151</v>
      </c>
      <c r="D13" s="133">
        <f>'Histo CNSE - pays E.E.E'!D20+'Histo CNSE-pays hors EEE'!D15</f>
        <v>127533991.54000002</v>
      </c>
      <c r="E13" s="61">
        <f t="shared" si="1"/>
        <v>27.146508277490057</v>
      </c>
      <c r="F13" s="133">
        <f>'Histo CNSE - pays E.E.E'!F20+'Histo CNSE-pays hors EEE'!F15</f>
        <v>47528.55</v>
      </c>
      <c r="G13" s="401" t="s">
        <v>103</v>
      </c>
      <c r="H13" s="68">
        <f t="shared" si="4"/>
        <v>469798878.87</v>
      </c>
      <c r="I13" s="85">
        <f t="shared" si="5"/>
        <v>47.964283420972201</v>
      </c>
      <c r="J13" s="133">
        <f>'Histo CNSE - pays E.E.E'!J20+'Histo CNSE-pays hors EEE'!J15</f>
        <v>554475668.43999994</v>
      </c>
      <c r="K13" s="61">
        <f t="shared" si="2"/>
        <v>88.603521196345497</v>
      </c>
      <c r="L13" s="133">
        <f>'Histo CNSE - pays E.E.E'!L20+'Histo CNSE-pays hors EEE'!L15</f>
        <v>71317917.370000005</v>
      </c>
      <c r="M13" s="61">
        <f t="shared" si="3"/>
        <v>11.396385744302135</v>
      </c>
      <c r="N13" s="133">
        <f>'Histo CNSE - pays E.E.E'!N20+'Histo CNSE-pays hors EEE'!N15</f>
        <v>582.36</v>
      </c>
      <c r="O13" s="401" t="s">
        <v>103</v>
      </c>
      <c r="P13" s="68">
        <f t="shared" si="6"/>
        <v>625794168.16999996</v>
      </c>
      <c r="Q13" s="85">
        <f t="shared" si="7"/>
        <v>10.665931637424521</v>
      </c>
      <c r="R13" s="67"/>
      <c r="S13" s="67"/>
    </row>
    <row r="14" spans="1:20">
      <c r="A14" s="54" t="s">
        <v>204</v>
      </c>
      <c r="B14" s="132">
        <f>'Histo CNSE - pays E.E.E'!B21+'Histo CNSE-pays hors EEE'!B16</f>
        <v>329915911.46000004</v>
      </c>
      <c r="C14" s="61">
        <f t="shared" si="0"/>
        <v>81.571131524372504</v>
      </c>
      <c r="D14" s="133">
        <f>'Histo CNSE - pays E.E.E'!D21+'Histo CNSE-pays hors EEE'!D16</f>
        <v>74432141.909999996</v>
      </c>
      <c r="E14" s="61">
        <f t="shared" si="1"/>
        <v>18.40321677882304</v>
      </c>
      <c r="F14" s="133">
        <f>'Histo CNSE - pays E.E.E'!F21+'Histo CNSE-pays hors EEE'!F16</f>
        <v>103748.75</v>
      </c>
      <c r="G14" s="401" t="s">
        <v>103</v>
      </c>
      <c r="H14" s="68">
        <f t="shared" si="4"/>
        <v>404451802.12</v>
      </c>
      <c r="I14" s="85">
        <f t="shared" si="5"/>
        <v>-13.909585503306928</v>
      </c>
      <c r="J14" s="133">
        <f>'Histo CNSE - pays E.E.E'!J21+'Histo CNSE-pays hors EEE'!J16</f>
        <v>942979107.40999997</v>
      </c>
      <c r="K14" s="61">
        <f t="shared" si="2"/>
        <v>95.204898414635906</v>
      </c>
      <c r="L14" s="133">
        <f>'Histo CNSE - pays E.E.E'!L21+'Histo CNSE-pays hors EEE'!L16</f>
        <v>47481386.030000001</v>
      </c>
      <c r="M14" s="61">
        <f t="shared" si="3"/>
        <v>4.7938077291958514</v>
      </c>
      <c r="N14" s="133">
        <f>'Histo CNSE - pays E.E.E'!N21+'Histo CNSE-pays hors EEE'!N16</f>
        <v>12815.3</v>
      </c>
      <c r="O14" s="401" t="s">
        <v>103</v>
      </c>
      <c r="P14" s="68">
        <f t="shared" si="6"/>
        <v>990473308.73999989</v>
      </c>
      <c r="Q14" s="85">
        <f t="shared" si="7"/>
        <v>58.274614740566442</v>
      </c>
      <c r="R14" s="67"/>
      <c r="S14" s="67"/>
    </row>
    <row r="15" spans="1:20">
      <c r="A15" s="54" t="s">
        <v>216</v>
      </c>
      <c r="B15" s="132">
        <f>'Histo CNSE - pays E.E.E'!B22+'Histo CNSE-pays hors EEE'!B17</f>
        <v>336713773.11000001</v>
      </c>
      <c r="C15" s="61">
        <f t="shared" si="0"/>
        <v>49.428838817564049</v>
      </c>
      <c r="D15" s="133">
        <f>'Histo CNSE - pays E.E.E'!D22+'Histo CNSE-pays hors EEE'!D17</f>
        <v>344475926.55000001</v>
      </c>
      <c r="E15" s="61">
        <f t="shared" si="1"/>
        <v>50.568305812689374</v>
      </c>
      <c r="F15" s="133">
        <f>'Histo CNSE - pays E.E.E'!F22+'Histo CNSE-pays hors EEE'!F17</f>
        <v>19451.04</v>
      </c>
      <c r="G15" s="401" t="s">
        <v>103</v>
      </c>
      <c r="H15" s="68">
        <f t="shared" si="4"/>
        <v>681209150.70000005</v>
      </c>
      <c r="I15" s="85">
        <f t="shared" si="5"/>
        <v>68.427769917041118</v>
      </c>
      <c r="J15" s="133">
        <f>'Histo CNSE - pays E.E.E'!J22+'Histo CNSE-pays hors EEE'!J17</f>
        <v>532199954.60000008</v>
      </c>
      <c r="K15" s="61">
        <f t="shared" si="2"/>
        <v>88.736205106288679</v>
      </c>
      <c r="L15" s="133">
        <f>'Histo CNSE - pays E.E.E'!L22+'Histo CNSE-pays hors EEE'!L17</f>
        <v>67554562.770000011</v>
      </c>
      <c r="M15" s="61">
        <f t="shared" si="3"/>
        <v>11.263690434415482</v>
      </c>
      <c r="N15" s="133">
        <f>'Histo CNSE - pays E.E.E'!N22+'Histo CNSE-pays hors EEE'!N17</f>
        <v>626.5</v>
      </c>
      <c r="O15" s="401" t="s">
        <v>103</v>
      </c>
      <c r="P15" s="68">
        <f t="shared" si="6"/>
        <v>599755143.87000012</v>
      </c>
      <c r="Q15" s="85">
        <f t="shared" si="7"/>
        <v>-39.447621800837808</v>
      </c>
      <c r="R15" s="67"/>
      <c r="S15" s="67"/>
    </row>
    <row r="16" spans="1:20">
      <c r="A16" s="54" t="s">
        <v>225</v>
      </c>
      <c r="B16" s="132">
        <f>'Histo CNSE - pays E.E.E'!B23+'Histo CNSE-pays hors EEE'!B18</f>
        <v>371644986</v>
      </c>
      <c r="C16" s="61">
        <f>B16/H16*100</f>
        <v>72.762766428482166</v>
      </c>
      <c r="D16" s="133">
        <f>'Histo CNSE - pays E.E.E'!D23+'Histo CNSE-pays hors EEE'!D18</f>
        <v>139057296</v>
      </c>
      <c r="E16" s="61">
        <f>D16/H16*100</f>
        <v>27.225427303422052</v>
      </c>
      <c r="F16" s="133">
        <f>'Histo CNSE - pays E.E.E'!F23+'Histo CNSE-pays hors EEE'!F18</f>
        <v>60302</v>
      </c>
      <c r="G16" s="401" t="s">
        <v>103</v>
      </c>
      <c r="H16" s="68">
        <f t="shared" si="4"/>
        <v>510762584</v>
      </c>
      <c r="I16" s="85">
        <f>(H16-H15)/H15*100</f>
        <v>-25.021179842468612</v>
      </c>
      <c r="J16" s="133">
        <f>'Histo CNSE - pays E.E.E'!J23+'Histo CNSE-pays hors EEE'!J18</f>
        <v>738275346</v>
      </c>
      <c r="K16" s="61">
        <f t="shared" si="2"/>
        <v>96.898805882951706</v>
      </c>
      <c r="L16" s="133">
        <f>'Histo CNSE - pays E.E.E'!L23+'Histo CNSE-pays hors EEE'!L18</f>
        <v>23618099</v>
      </c>
      <c r="M16" s="61">
        <f t="shared" si="3"/>
        <v>3.0998808272887057</v>
      </c>
      <c r="N16" s="133">
        <f>'Histo CNSE - pays E.E.E'!N23+'Histo CNSE-pays hors EEE'!N18</f>
        <v>10006</v>
      </c>
      <c r="O16" s="401" t="s">
        <v>103</v>
      </c>
      <c r="P16" s="68">
        <f t="shared" si="6"/>
        <v>761903451</v>
      </c>
      <c r="Q16" s="85">
        <f t="shared" si="7"/>
        <v>27.035750970590477</v>
      </c>
      <c r="R16" s="67"/>
      <c r="S16" s="67"/>
      <c r="T16" s="67"/>
    </row>
    <row r="17" spans="1:23" ht="12.75" customHeight="1">
      <c r="A17" s="54" t="s">
        <v>258</v>
      </c>
      <c r="B17" s="132">
        <f>'Histo CNSE - pays E.E.E'!B24+'Histo CNSE-pays hors EEE'!B19</f>
        <v>274110985.5583148</v>
      </c>
      <c r="C17" s="61">
        <f>B17/H17*100</f>
        <v>67.349188114598803</v>
      </c>
      <c r="D17" s="133">
        <f>'Histo CNSE - pays E.E.E'!D24+'Histo CNSE-pays hors EEE'!D19</f>
        <v>125941142.63177353</v>
      </c>
      <c r="E17" s="61">
        <f>D17/H17*100</f>
        <v>30.94379340250978</v>
      </c>
      <c r="F17" s="133">
        <f>'Histo CNSE - pays E.E.E'!F24+'Histo CNSE-pays hors EEE'!F19</f>
        <v>67426.546380827334</v>
      </c>
      <c r="G17" s="133">
        <f>'Histo CNSE - pays E.E.E'!G24+'Histo CNSE-pays hors EEE'!G19</f>
        <v>6880133.3546449384</v>
      </c>
      <c r="H17" s="68">
        <f t="shared" si="4"/>
        <v>406999688.0911141</v>
      </c>
      <c r="I17" s="85">
        <f>(H17-H16)/H16*100</f>
        <v>-20.315289169436479</v>
      </c>
      <c r="J17" s="133">
        <f>'Histo CNSE - pays E.E.E'!J24+'Histo CNSE-pays hors EEE'!J19</f>
        <v>977243992.78900003</v>
      </c>
      <c r="K17" s="61">
        <f>J17/P17*100</f>
        <v>93.094056901238602</v>
      </c>
      <c r="L17" s="133">
        <f>'Histo CNSE - pays E.E.E'!L24+'Histo CNSE-pays hors EEE'!L19</f>
        <v>60341040.267999999</v>
      </c>
      <c r="M17" s="61">
        <f>L17/P17*100</f>
        <v>5.7481982776454794</v>
      </c>
      <c r="N17" s="133">
        <f>'Histo CNSE - pays E.E.E'!N24+'Histo CNSE-pays hors EEE'!N19</f>
        <v>8200.43</v>
      </c>
      <c r="O17" s="133">
        <f>'Histo CNSE - pays E.E.E'!O24+'Histo CNSE-pays hors EEE'!O19</f>
        <v>12145090.652999999</v>
      </c>
      <c r="P17" s="68">
        <f t="shared" si="6"/>
        <v>1049738324.14</v>
      </c>
      <c r="Q17" s="85">
        <f>(P17-P16)/P16*100</f>
        <v>37.778392099709755</v>
      </c>
      <c r="R17" s="67"/>
      <c r="S17" s="67"/>
      <c r="T17" s="67"/>
    </row>
    <row r="18" spans="1:23" ht="36">
      <c r="A18" s="34" t="str">
        <f>"période ("&amp;A8&amp;" - "&amp;A17&amp;")"</f>
        <v>période (2007 - 2016)</v>
      </c>
      <c r="B18" s="134">
        <f>SUM(B8:B17)</f>
        <v>2490741312.8883147</v>
      </c>
      <c r="C18" s="62">
        <f>B18/H18*100</f>
        <v>61.149093452795732</v>
      </c>
      <c r="D18" s="134">
        <f>SUM(D8:D17)</f>
        <v>1575108676.5717735</v>
      </c>
      <c r="E18" s="62">
        <f>D18/H18*100</f>
        <v>38.669799695218543</v>
      </c>
      <c r="F18" s="134">
        <f>SUM(F8:F17)</f>
        <v>496759.62638082728</v>
      </c>
      <c r="G18" s="134">
        <f>SUM(G8:G17)</f>
        <v>6880133.3546449384</v>
      </c>
      <c r="H18" s="136">
        <f>SUM(H8:H17)</f>
        <v>4073226882.4411135</v>
      </c>
      <c r="I18" s="78"/>
      <c r="J18" s="137">
        <f>SUM(J8:J17)</f>
        <v>5499133262.5389996</v>
      </c>
      <c r="K18" s="62">
        <f>J18/P18*100</f>
        <v>76.874737568648627</v>
      </c>
      <c r="L18" s="137">
        <f>SUM(L8:L17)</f>
        <v>1642049498.8979998</v>
      </c>
      <c r="M18" s="62">
        <f>L18/P18*100</f>
        <v>22.954912760967026</v>
      </c>
      <c r="N18" s="137">
        <f>SUM(N8:N17)</f>
        <v>40649.01</v>
      </c>
      <c r="O18" s="137">
        <f>SUM(O8:O17)</f>
        <v>12145090.652999999</v>
      </c>
      <c r="P18" s="138">
        <f>SUM(P8:P17)</f>
        <v>7153368501.1000004</v>
      </c>
      <c r="Q18" s="78"/>
      <c r="R18" s="67"/>
      <c r="S18" s="67"/>
      <c r="T18" s="67"/>
      <c r="U18" s="67"/>
      <c r="V18" s="67"/>
      <c r="W18" s="67"/>
    </row>
    <row r="19" spans="1:23" ht="40.5" customHeight="1">
      <c r="I19" s="416"/>
      <c r="J19" s="416"/>
      <c r="R19" s="67"/>
      <c r="S19" s="67"/>
      <c r="T19" s="67"/>
    </row>
    <row r="20" spans="1:23">
      <c r="P20" s="67"/>
      <c r="T20" s="67"/>
    </row>
    <row r="21" spans="1:23">
      <c r="T21" s="67"/>
    </row>
    <row r="22" spans="1:23">
      <c r="Q22" s="154"/>
    </row>
    <row r="23" spans="1:23">
      <c r="S23" s="67"/>
    </row>
    <row r="24" spans="1:23">
      <c r="R24" s="67"/>
      <c r="T24" s="67"/>
    </row>
    <row r="25" spans="1:23">
      <c r="R25" s="154"/>
      <c r="S25" s="67"/>
    </row>
    <row r="34" spans="9:21">
      <c r="U34" s="67"/>
    </row>
    <row r="38" spans="9:21">
      <c r="I38" s="416"/>
      <c r="J38" s="416"/>
    </row>
  </sheetData>
  <mergeCells count="16">
    <mergeCell ref="A3:M3"/>
    <mergeCell ref="P5:P7"/>
    <mergeCell ref="O5:O7"/>
    <mergeCell ref="I19:J19"/>
    <mergeCell ref="I38:J38"/>
    <mergeCell ref="A4:A7"/>
    <mergeCell ref="B4:I4"/>
    <mergeCell ref="J4:Q4"/>
    <mergeCell ref="B5:E6"/>
    <mergeCell ref="F5:F7"/>
    <mergeCell ref="N5:N7"/>
    <mergeCell ref="G5:G7"/>
    <mergeCell ref="Q5:Q7"/>
    <mergeCell ref="H5:H7"/>
    <mergeCell ref="I5:I7"/>
    <mergeCell ref="J5:M6"/>
  </mergeCells>
  <phoneticPr fontId="9" type="noConversion"/>
  <hyperlinks>
    <hyperlink ref="S3" location="Accueil!A1" display="Retour à l'accueil"/>
  </hyperlinks>
  <pageMargins left="0.18" right="0.2" top="0.23" bottom="0.23" header="0.2" footer="0.2"/>
  <pageSetup paperSize="9" scale="90" orientation="landscape" r:id="rId1"/>
  <headerFooter alignWithMargins="0"/>
  <ignoredErrors>
    <ignoredError sqref="E18 I18 K18 M18 C18" formula="1"/>
    <ignoredError sqref="A8:A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rgb="FF92D050"/>
  </sheetPr>
  <dimension ref="A1:S39"/>
  <sheetViews>
    <sheetView showGridLines="0" topLeftCell="A7" workbookViewId="0">
      <selection activeCell="C25" sqref="C25"/>
    </sheetView>
  </sheetViews>
  <sheetFormatPr baseColWidth="10" defaultRowHeight="12.75"/>
  <cols>
    <col min="1" max="1" width="10.28515625" style="25" customWidth="1"/>
    <col min="2" max="2" width="12.7109375" style="25" customWidth="1"/>
    <col min="3" max="3" width="5" style="25" customWidth="1"/>
    <col min="4" max="4" width="11.85546875" style="25" customWidth="1"/>
    <col min="5" max="5" width="4.85546875" style="25" customWidth="1"/>
    <col min="6" max="6" width="9.42578125" style="25" customWidth="1"/>
    <col min="7" max="7" width="10.28515625" style="25" customWidth="1"/>
    <col min="8" max="8" width="13.85546875" style="25" customWidth="1"/>
    <col min="9" max="9" width="13" style="25" customWidth="1"/>
    <col min="10" max="10" width="11.140625" style="25" customWidth="1"/>
    <col min="11" max="11" width="12.42578125" style="25" customWidth="1"/>
    <col min="12" max="12" width="12.140625" style="25" customWidth="1"/>
    <col min="13" max="13" width="8.28515625" style="25" customWidth="1"/>
    <col min="14" max="14" width="12.7109375" style="25" bestFit="1" customWidth="1"/>
    <col min="15" max="15" width="12" style="25" customWidth="1"/>
    <col min="16" max="16" width="13" style="25" customWidth="1"/>
    <col min="17" max="16384" width="11.42578125" style="25"/>
  </cols>
  <sheetData>
    <row r="1" spans="1:19" ht="20.25">
      <c r="A1" s="24" t="s">
        <v>244</v>
      </c>
    </row>
    <row r="2" spans="1:19" ht="15.75">
      <c r="A2" s="24"/>
    </row>
    <row r="3" spans="1:19" ht="15.75">
      <c r="A3" s="151" t="s">
        <v>198</v>
      </c>
    </row>
    <row r="4" spans="1:19" ht="15.75">
      <c r="A4" s="152" t="s">
        <v>211</v>
      </c>
    </row>
    <row r="5" spans="1:19" ht="16.5" customHeight="1">
      <c r="A5" s="148" t="s">
        <v>212</v>
      </c>
      <c r="O5" s="317"/>
      <c r="P5" s="317"/>
    </row>
    <row r="6" spans="1:19" ht="16.5" customHeight="1">
      <c r="A6" s="148" t="s">
        <v>213</v>
      </c>
      <c r="O6" s="317"/>
      <c r="P6" s="317"/>
    </row>
    <row r="7" spans="1:19" ht="16.5" customHeight="1">
      <c r="A7" s="153" t="s">
        <v>215</v>
      </c>
      <c r="O7" s="146"/>
      <c r="P7" s="146"/>
    </row>
    <row r="8" spans="1:19" ht="16.5" customHeight="1">
      <c r="A8" s="148" t="s">
        <v>214</v>
      </c>
      <c r="O8" s="146"/>
      <c r="P8" s="146"/>
    </row>
    <row r="9" spans="1:19" ht="16.5" customHeight="1">
      <c r="A9" s="148" t="s">
        <v>226</v>
      </c>
      <c r="O9" s="146"/>
      <c r="P9" s="146"/>
    </row>
    <row r="10" spans="1:19" ht="16.5" customHeight="1">
      <c r="A10" s="148"/>
      <c r="F10" s="67"/>
      <c r="O10" s="146"/>
      <c r="P10" s="146"/>
    </row>
    <row r="11" spans="1:19" ht="30" customHeight="1">
      <c r="A11" s="456" t="s">
        <v>233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</row>
    <row r="12" spans="1:19" s="26" customFormat="1" ht="33" customHeight="1" thickBot="1">
      <c r="A12" s="438" t="s">
        <v>49</v>
      </c>
      <c r="B12" s="441" t="s">
        <v>240</v>
      </c>
      <c r="C12" s="442"/>
      <c r="D12" s="442"/>
      <c r="E12" s="442"/>
      <c r="F12" s="442"/>
      <c r="G12" s="442"/>
      <c r="H12" s="442"/>
      <c r="I12" s="465"/>
      <c r="J12" s="444" t="s">
        <v>241</v>
      </c>
      <c r="K12" s="464"/>
      <c r="L12" s="464"/>
      <c r="M12" s="464"/>
      <c r="N12" s="464"/>
      <c r="O12" s="464"/>
      <c r="P12" s="464"/>
      <c r="Q12" s="465"/>
      <c r="S12" s="269" t="s">
        <v>197</v>
      </c>
    </row>
    <row r="13" spans="1:19" s="26" customFormat="1" ht="28.5" customHeight="1" thickTop="1">
      <c r="A13" s="439"/>
      <c r="B13" s="459" t="s">
        <v>1</v>
      </c>
      <c r="C13" s="460"/>
      <c r="D13" s="460"/>
      <c r="E13" s="461"/>
      <c r="F13" s="462" t="s">
        <v>72</v>
      </c>
      <c r="G13" s="435" t="s">
        <v>259</v>
      </c>
      <c r="H13" s="467" t="s">
        <v>2</v>
      </c>
      <c r="I13" s="457" t="s">
        <v>113</v>
      </c>
      <c r="J13" s="459" t="s">
        <v>1</v>
      </c>
      <c r="K13" s="460"/>
      <c r="L13" s="460"/>
      <c r="M13" s="461"/>
      <c r="N13" s="462" t="s">
        <v>72</v>
      </c>
      <c r="O13" s="462" t="s">
        <v>259</v>
      </c>
      <c r="P13" s="466" t="s">
        <v>2</v>
      </c>
      <c r="Q13" s="457" t="s">
        <v>113</v>
      </c>
    </row>
    <row r="14" spans="1:19" s="26" customFormat="1" ht="15" customHeight="1">
      <c r="A14" s="440"/>
      <c r="B14" s="55" t="s">
        <v>3</v>
      </c>
      <c r="C14" s="57" t="s">
        <v>94</v>
      </c>
      <c r="D14" s="55" t="s">
        <v>4</v>
      </c>
      <c r="E14" s="57" t="s">
        <v>94</v>
      </c>
      <c r="F14" s="437"/>
      <c r="G14" s="463"/>
      <c r="H14" s="461"/>
      <c r="I14" s="458"/>
      <c r="J14" s="79" t="s">
        <v>3</v>
      </c>
      <c r="K14" s="58" t="s">
        <v>94</v>
      </c>
      <c r="L14" s="277" t="s">
        <v>4</v>
      </c>
      <c r="M14" s="58" t="s">
        <v>94</v>
      </c>
      <c r="N14" s="437"/>
      <c r="O14" s="463"/>
      <c r="P14" s="463"/>
      <c r="Q14" s="458"/>
    </row>
    <row r="15" spans="1:19" s="26" customFormat="1">
      <c r="A15" s="56" t="s">
        <v>58</v>
      </c>
      <c r="B15" s="69">
        <v>125067129.26000001</v>
      </c>
      <c r="C15" s="59">
        <f t="shared" ref="C15:C25" si="0">B15/H15*100</f>
        <v>55.209583397943462</v>
      </c>
      <c r="D15" s="70">
        <v>101410512.86</v>
      </c>
      <c r="E15" s="59">
        <f t="shared" ref="E15:E25" si="1">D15/H15*100</f>
        <v>44.766616138866254</v>
      </c>
      <c r="F15" s="71">
        <v>53915.56</v>
      </c>
      <c r="G15" s="382" t="s">
        <v>103</v>
      </c>
      <c r="H15" s="68">
        <f>SUM(B15,D15,F15,G15)</f>
        <v>226531557.68000001</v>
      </c>
      <c r="I15" s="80"/>
      <c r="J15" s="68">
        <v>285007173.73000002</v>
      </c>
      <c r="K15" s="195">
        <f t="shared" ref="K15:K25" si="2">J15/P15*100</f>
        <v>60.717737022325515</v>
      </c>
      <c r="L15" s="245">
        <v>184389618.44</v>
      </c>
      <c r="M15" s="195">
        <f t="shared" ref="M15:M25" si="3">L15/P15*100</f>
        <v>39.282240568067479</v>
      </c>
      <c r="N15" s="71">
        <v>105.19</v>
      </c>
      <c r="O15" s="402" t="s">
        <v>103</v>
      </c>
      <c r="P15" s="68">
        <f>SUM(J15,L15,N15,O15)</f>
        <v>469396897.36000001</v>
      </c>
      <c r="Q15" s="80"/>
      <c r="R15" s="316"/>
    </row>
    <row r="16" spans="1:19" s="26" customFormat="1">
      <c r="A16" s="56" t="s">
        <v>80</v>
      </c>
      <c r="B16" s="69">
        <v>104944848.97</v>
      </c>
      <c r="C16" s="59">
        <f t="shared" si="0"/>
        <v>49.301105843623013</v>
      </c>
      <c r="D16" s="70">
        <v>107876016.56999999</v>
      </c>
      <c r="E16" s="59">
        <f t="shared" si="1"/>
        <v>50.678112962231644</v>
      </c>
      <c r="F16" s="71">
        <v>44235.91</v>
      </c>
      <c r="G16" s="382" t="s">
        <v>103</v>
      </c>
      <c r="H16" s="68">
        <f t="shared" ref="H16:H24" si="4">SUM(B16,D16,F16,G16)</f>
        <v>212865101.44999999</v>
      </c>
      <c r="I16" s="80">
        <f t="shared" ref="I16:I21" si="5">(H16-H15)/H15*100</f>
        <v>-6.0329149589415465</v>
      </c>
      <c r="J16" s="68">
        <v>394448728.93000001</v>
      </c>
      <c r="K16" s="195">
        <f t="shared" si="2"/>
        <v>48.897211704155261</v>
      </c>
      <c r="L16" s="245">
        <v>412240886.25</v>
      </c>
      <c r="M16" s="195">
        <f t="shared" si="3"/>
        <v>51.102788295844739</v>
      </c>
      <c r="N16" s="71">
        <v>0</v>
      </c>
      <c r="O16" s="403" t="s">
        <v>103</v>
      </c>
      <c r="P16" s="68">
        <f t="shared" ref="P16:P24" si="6">SUM(J16,L16,N16,O16)</f>
        <v>806689615.18000007</v>
      </c>
      <c r="Q16" s="80">
        <f t="shared" ref="Q16:Q23" si="7">(P16-P15)/P15*100</f>
        <v>71.85661424628384</v>
      </c>
      <c r="R16" s="316"/>
    </row>
    <row r="17" spans="1:19" s="26" customFormat="1">
      <c r="A17" s="56" t="s">
        <v>108</v>
      </c>
      <c r="B17" s="69">
        <v>105122362.06</v>
      </c>
      <c r="C17" s="59">
        <f t="shared" si="0"/>
        <v>58.302215979055958</v>
      </c>
      <c r="D17" s="70">
        <v>75161121.640000001</v>
      </c>
      <c r="E17" s="59">
        <f t="shared" si="1"/>
        <v>41.685326140048652</v>
      </c>
      <c r="F17" s="71">
        <v>22462.3</v>
      </c>
      <c r="G17" s="382" t="s">
        <v>103</v>
      </c>
      <c r="H17" s="68">
        <f t="shared" si="4"/>
        <v>180305946</v>
      </c>
      <c r="I17" s="80">
        <f t="shared" si="5"/>
        <v>-15.295675631286054</v>
      </c>
      <c r="J17" s="68">
        <v>439115479.08999997</v>
      </c>
      <c r="K17" s="195">
        <f t="shared" si="2"/>
        <v>54.482639161761462</v>
      </c>
      <c r="L17" s="245">
        <v>366857737.05000001</v>
      </c>
      <c r="M17" s="195">
        <f t="shared" si="3"/>
        <v>45.517360838238538</v>
      </c>
      <c r="N17" s="71">
        <v>0</v>
      </c>
      <c r="O17" s="403" t="s">
        <v>103</v>
      </c>
      <c r="P17" s="68">
        <f t="shared" si="6"/>
        <v>805973216.13999999</v>
      </c>
      <c r="Q17" s="80">
        <f t="shared" si="7"/>
        <v>-8.8807271907204097E-2</v>
      </c>
      <c r="R17" s="316"/>
    </row>
    <row r="18" spans="1:19" s="26" customFormat="1">
      <c r="A18" s="56" t="s">
        <v>176</v>
      </c>
      <c r="B18" s="69">
        <v>128666330.02</v>
      </c>
      <c r="C18" s="59">
        <f t="shared" si="0"/>
        <v>50.286828231504579</v>
      </c>
      <c r="D18" s="70">
        <v>127137568.05</v>
      </c>
      <c r="E18" s="59">
        <f t="shared" si="1"/>
        <v>49.689340212841913</v>
      </c>
      <c r="F18" s="71">
        <v>60976.58</v>
      </c>
      <c r="G18" s="382" t="s">
        <v>103</v>
      </c>
      <c r="H18" s="68">
        <f t="shared" si="4"/>
        <v>255864874.65000001</v>
      </c>
      <c r="I18" s="80">
        <f t="shared" si="5"/>
        <v>41.905955031566187</v>
      </c>
      <c r="J18" s="68">
        <v>264158725.94999999</v>
      </c>
      <c r="K18" s="195">
        <f t="shared" si="2"/>
        <v>68.412715404239265</v>
      </c>
      <c r="L18" s="245">
        <v>121959807.01000001</v>
      </c>
      <c r="M18" s="195">
        <f t="shared" si="3"/>
        <v>31.585561058885308</v>
      </c>
      <c r="N18" s="71">
        <v>6655.01</v>
      </c>
      <c r="O18" s="403" t="s">
        <v>103</v>
      </c>
      <c r="P18" s="68">
        <f t="shared" si="6"/>
        <v>386125187.96999997</v>
      </c>
      <c r="Q18" s="80">
        <f t="shared" si="7"/>
        <v>-52.092057125763233</v>
      </c>
      <c r="R18" s="316"/>
    </row>
    <row r="19" spans="1:19" s="26" customFormat="1">
      <c r="A19" s="56" t="s">
        <v>189</v>
      </c>
      <c r="B19" s="69">
        <v>108198371.97</v>
      </c>
      <c r="C19" s="195">
        <f t="shared" si="0"/>
        <v>50.020685845795164</v>
      </c>
      <c r="D19" s="72">
        <v>108102721.45</v>
      </c>
      <c r="E19" s="195">
        <f t="shared" si="1"/>
        <v>49.976466099002359</v>
      </c>
      <c r="F19" s="71">
        <v>6160.55</v>
      </c>
      <c r="G19" s="382" t="s">
        <v>103</v>
      </c>
      <c r="H19" s="68">
        <f t="shared" si="4"/>
        <v>216307253.97000003</v>
      </c>
      <c r="I19" s="80">
        <f t="shared" si="5"/>
        <v>-15.460356070410688</v>
      </c>
      <c r="J19" s="196">
        <v>338976469</v>
      </c>
      <c r="K19" s="195">
        <f t="shared" si="2"/>
        <v>60.951450707951828</v>
      </c>
      <c r="L19" s="245">
        <v>217163629.97</v>
      </c>
      <c r="M19" s="195">
        <f t="shared" si="3"/>
        <v>39.048251127060816</v>
      </c>
      <c r="N19" s="71">
        <v>1658.22</v>
      </c>
      <c r="O19" s="403" t="s">
        <v>103</v>
      </c>
      <c r="P19" s="68">
        <f t="shared" si="6"/>
        <v>556141757.19000006</v>
      </c>
      <c r="Q19" s="80">
        <f t="shared" si="7"/>
        <v>44.031462985835965</v>
      </c>
      <c r="R19" s="316"/>
    </row>
    <row r="20" spans="1:19" s="26" customFormat="1">
      <c r="A20" s="56" t="s">
        <v>199</v>
      </c>
      <c r="B20" s="69">
        <v>288853685.90999997</v>
      </c>
      <c r="C20" s="195">
        <f t="shared" si="0"/>
        <v>70.512626460528963</v>
      </c>
      <c r="D20" s="243">
        <v>120746958.37000002</v>
      </c>
      <c r="E20" s="195">
        <f t="shared" si="1"/>
        <v>29.47577125410708</v>
      </c>
      <c r="F20" s="244">
        <v>47528.55</v>
      </c>
      <c r="G20" s="382" t="s">
        <v>103</v>
      </c>
      <c r="H20" s="68">
        <f t="shared" si="4"/>
        <v>409648172.82999998</v>
      </c>
      <c r="I20" s="80">
        <f t="shared" si="5"/>
        <v>89.382540488824617</v>
      </c>
      <c r="J20" s="68">
        <v>551235400.41999996</v>
      </c>
      <c r="K20" s="195">
        <f t="shared" si="2"/>
        <v>89.628866697507178</v>
      </c>
      <c r="L20" s="245">
        <v>63783955.25</v>
      </c>
      <c r="M20" s="195">
        <f t="shared" si="3"/>
        <v>10.371038612879683</v>
      </c>
      <c r="N20" s="71">
        <v>582.36</v>
      </c>
      <c r="O20" s="403" t="s">
        <v>103</v>
      </c>
      <c r="P20" s="68">
        <f t="shared" si="6"/>
        <v>615019938.02999997</v>
      </c>
      <c r="Q20" s="80">
        <f t="shared" si="7"/>
        <v>10.58690164491367</v>
      </c>
      <c r="R20" s="316"/>
    </row>
    <row r="21" spans="1:19" s="26" customFormat="1">
      <c r="A21" s="56" t="s">
        <v>204</v>
      </c>
      <c r="B21" s="69">
        <v>250129560.94</v>
      </c>
      <c r="C21" s="195">
        <f t="shared" si="0"/>
        <v>77.042247552772864</v>
      </c>
      <c r="D21" s="243">
        <v>74432141.909999996</v>
      </c>
      <c r="E21" s="195">
        <f t="shared" si="1"/>
        <v>22.925796860487385</v>
      </c>
      <c r="F21" s="244">
        <v>103748.75</v>
      </c>
      <c r="G21" s="382" t="s">
        <v>103</v>
      </c>
      <c r="H21" s="68">
        <f t="shared" si="4"/>
        <v>324665451.60000002</v>
      </c>
      <c r="I21" s="80">
        <f t="shared" si="5"/>
        <v>-20.745294832614075</v>
      </c>
      <c r="J21" s="68">
        <v>937181011.90999997</v>
      </c>
      <c r="K21" s="195">
        <f t="shared" si="2"/>
        <v>95.176953049062817</v>
      </c>
      <c r="L21" s="245">
        <v>47478387.950000003</v>
      </c>
      <c r="M21" s="195">
        <f t="shared" si="3"/>
        <v>4.8217454721503659</v>
      </c>
      <c r="N21" s="71">
        <v>12815.3</v>
      </c>
      <c r="O21" s="403" t="s">
        <v>103</v>
      </c>
      <c r="P21" s="68">
        <f t="shared" si="6"/>
        <v>984672215.15999997</v>
      </c>
      <c r="Q21" s="80">
        <f t="shared" si="7"/>
        <v>60.104112773002292</v>
      </c>
      <c r="R21" s="316"/>
    </row>
    <row r="22" spans="1:19" s="26" customFormat="1">
      <c r="A22" s="56" t="s">
        <v>216</v>
      </c>
      <c r="B22" s="69">
        <v>258499034.84999999</v>
      </c>
      <c r="C22" s="195">
        <f t="shared" si="0"/>
        <v>58.543886330003126</v>
      </c>
      <c r="D22" s="243">
        <v>183031198.99000001</v>
      </c>
      <c r="E22" s="195">
        <f t="shared" si="1"/>
        <v>41.452215536249774</v>
      </c>
      <c r="F22" s="244">
        <v>17212.11</v>
      </c>
      <c r="G22" s="382" t="s">
        <v>103</v>
      </c>
      <c r="H22" s="68">
        <f t="shared" si="4"/>
        <v>441547445.95000005</v>
      </c>
      <c r="I22" s="80">
        <f>(H22-H21)/H21*100</f>
        <v>36.000749009168679</v>
      </c>
      <c r="J22" s="68">
        <v>526289904.63000005</v>
      </c>
      <c r="K22" s="195">
        <f t="shared" si="2"/>
        <v>99.356053406936326</v>
      </c>
      <c r="L22" s="245">
        <v>3410364.37</v>
      </c>
      <c r="M22" s="195">
        <f t="shared" si="3"/>
        <v>0.64382831876862467</v>
      </c>
      <c r="N22" s="71">
        <v>626.5</v>
      </c>
      <c r="O22" s="403" t="s">
        <v>103</v>
      </c>
      <c r="P22" s="68">
        <f t="shared" si="6"/>
        <v>529700895.50000006</v>
      </c>
      <c r="Q22" s="80">
        <f t="shared" si="7"/>
        <v>-46.205357748016823</v>
      </c>
      <c r="R22" s="316"/>
    </row>
    <row r="23" spans="1:19" s="26" customFormat="1">
      <c r="A23" s="56" t="s">
        <v>225</v>
      </c>
      <c r="B23" s="69">
        <v>261728826</v>
      </c>
      <c r="C23" s="195">
        <f t="shared" si="0"/>
        <v>75.682669969572331</v>
      </c>
      <c r="D23" s="243">
        <v>84035370</v>
      </c>
      <c r="E23" s="195">
        <f t="shared" si="1"/>
        <v>24.300040888430452</v>
      </c>
      <c r="F23" s="244">
        <v>59790</v>
      </c>
      <c r="G23" s="382" t="s">
        <v>103</v>
      </c>
      <c r="H23" s="68">
        <f t="shared" si="4"/>
        <v>345823986</v>
      </c>
      <c r="I23" s="80">
        <f>(H23-H22)/H22*100</f>
        <v>-21.679088131525411</v>
      </c>
      <c r="J23" s="68">
        <v>736724328</v>
      </c>
      <c r="K23" s="195">
        <f t="shared" si="2"/>
        <v>99.144583561235322</v>
      </c>
      <c r="L23" s="68">
        <v>6350218</v>
      </c>
      <c r="M23" s="195">
        <f t="shared" si="3"/>
        <v>0.85457978677346003</v>
      </c>
      <c r="N23" s="71">
        <v>6217</v>
      </c>
      <c r="O23" s="403" t="s">
        <v>103</v>
      </c>
      <c r="P23" s="68">
        <f t="shared" si="6"/>
        <v>743080763</v>
      </c>
      <c r="Q23" s="80">
        <f t="shared" si="7"/>
        <v>40.283086042092577</v>
      </c>
      <c r="R23" s="316"/>
    </row>
    <row r="24" spans="1:19" s="26" customFormat="1">
      <c r="A24" s="56" t="s">
        <v>258</v>
      </c>
      <c r="B24" s="69">
        <v>192390884.31630149</v>
      </c>
      <c r="C24" s="195">
        <f t="shared" si="0"/>
        <v>77.963296874652386</v>
      </c>
      <c r="D24" s="243">
        <v>49101121.782242149</v>
      </c>
      <c r="E24" s="195">
        <f t="shared" si="1"/>
        <v>19.897436138885961</v>
      </c>
      <c r="F24" s="244">
        <v>67110.369897531331</v>
      </c>
      <c r="G24" s="71">
        <v>5211982.2777074808</v>
      </c>
      <c r="H24" s="68">
        <f t="shared" si="4"/>
        <v>246771098.74614868</v>
      </c>
      <c r="I24" s="80">
        <f>(H24-H23)/H23*100</f>
        <v>-28.642572887888502</v>
      </c>
      <c r="J24" s="68">
        <v>970226707.84600008</v>
      </c>
      <c r="K24" s="195">
        <f t="shared" si="2"/>
        <v>93.898293627149201</v>
      </c>
      <c r="L24" s="68">
        <v>50938575.068999998</v>
      </c>
      <c r="M24" s="195">
        <f t="shared" si="3"/>
        <v>4.9298223189468571</v>
      </c>
      <c r="N24" s="71">
        <v>8200.43</v>
      </c>
      <c r="O24" s="71">
        <v>12100573.475</v>
      </c>
      <c r="P24" s="68">
        <f t="shared" si="6"/>
        <v>1033274056.8200001</v>
      </c>
      <c r="Q24" s="80">
        <f>(P24-P23)/P23*100</f>
        <v>39.05272593094972</v>
      </c>
      <c r="R24" s="316"/>
    </row>
    <row r="25" spans="1:19" ht="36">
      <c r="A25" s="34" t="str">
        <f>"période ("&amp;A15&amp;" - "&amp;A24&amp;")"</f>
        <v>période (2007 - 2016)</v>
      </c>
      <c r="B25" s="252">
        <f>SUM(B15:B24)</f>
        <v>1823601034.2963014</v>
      </c>
      <c r="C25" s="60">
        <f t="shared" si="0"/>
        <v>63.754897777327137</v>
      </c>
      <c r="D25" s="77">
        <f>SUM(D15:D24)</f>
        <v>1031034731.6222422</v>
      </c>
      <c r="E25" s="147">
        <f t="shared" si="1"/>
        <v>36.045995085112189</v>
      </c>
      <c r="F25" s="77">
        <f>SUM(F15:F24)</f>
        <v>483140.67989753134</v>
      </c>
      <c r="G25" s="76">
        <f>SUM(G15:G24)</f>
        <v>5211982.2777074808</v>
      </c>
      <c r="H25" s="381">
        <f>SUM(H15:H24)</f>
        <v>2860330888.8761487</v>
      </c>
      <c r="I25" s="278"/>
      <c r="J25" s="75">
        <f>SUM(J15:J24)</f>
        <v>5443363929.5059996</v>
      </c>
      <c r="K25" s="147">
        <f t="shared" si="2"/>
        <v>78.546975162263493</v>
      </c>
      <c r="L25" s="75">
        <f>SUM(L15:L24)</f>
        <v>1474573179.359</v>
      </c>
      <c r="M25" s="147">
        <f t="shared" si="3"/>
        <v>21.277883381308765</v>
      </c>
      <c r="N25" s="76">
        <f>SUM(N15:N24)</f>
        <v>36860.01</v>
      </c>
      <c r="O25" s="76">
        <f>SUM(O15:O24)</f>
        <v>12100573.475</v>
      </c>
      <c r="P25" s="197">
        <f>SUM(P15:P24)</f>
        <v>6930074542.3499994</v>
      </c>
      <c r="Q25" s="278"/>
      <c r="S25" s="67"/>
    </row>
    <row r="34" spans="9:18">
      <c r="R34" s="67"/>
    </row>
    <row r="39" spans="9:18">
      <c r="I39" s="416"/>
      <c r="J39" s="416"/>
    </row>
  </sheetData>
  <mergeCells count="15">
    <mergeCell ref="I39:J39"/>
    <mergeCell ref="J13:M13"/>
    <mergeCell ref="H13:H14"/>
    <mergeCell ref="F13:F14"/>
    <mergeCell ref="G13:G14"/>
    <mergeCell ref="A11:P11"/>
    <mergeCell ref="A12:A14"/>
    <mergeCell ref="I13:I14"/>
    <mergeCell ref="Q13:Q14"/>
    <mergeCell ref="B13:E13"/>
    <mergeCell ref="N13:N14"/>
    <mergeCell ref="O13:O14"/>
    <mergeCell ref="J12:Q12"/>
    <mergeCell ref="P13:P14"/>
    <mergeCell ref="B12:I12"/>
  </mergeCells>
  <phoneticPr fontId="9" type="noConversion"/>
  <hyperlinks>
    <hyperlink ref="S12" location="Accueil!A1" display="Retour à l'accueil"/>
  </hyperlinks>
  <pageMargins left="0.18" right="0.2" top="0.26" bottom="0.26" header="0.2" footer="0.2"/>
  <pageSetup paperSize="9" orientation="landscape" r:id="rId1"/>
  <headerFooter alignWithMargins="0"/>
  <ignoredErrors>
    <ignoredError sqref="I25" formula="1"/>
    <ignoredError sqref="C25 M25 K25 E25" formula="1" formulaRange="1"/>
    <ignoredError sqref="A15:A2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rgb="FF92D050"/>
  </sheetPr>
  <dimension ref="A1:R66"/>
  <sheetViews>
    <sheetView showGridLines="0" workbookViewId="0">
      <selection activeCell="P74" sqref="P73:P74"/>
    </sheetView>
  </sheetViews>
  <sheetFormatPr baseColWidth="10" defaultRowHeight="12.75"/>
  <cols>
    <col min="1" max="1" width="11.85546875" style="13" customWidth="1"/>
    <col min="2" max="2" width="18.140625" style="13" customWidth="1"/>
    <col min="3" max="4" width="12" style="13" customWidth="1"/>
    <col min="5" max="6" width="9" style="13" customWidth="1"/>
    <col min="7" max="7" width="11.5703125" style="13" customWidth="1"/>
    <col min="8" max="8" width="8.140625" style="13" bestFit="1" customWidth="1"/>
    <col min="9" max="9" width="11.85546875" style="13" customWidth="1"/>
    <col min="10" max="10" width="11.140625" style="13" customWidth="1"/>
    <col min="11" max="11" width="8.28515625" style="13" customWidth="1"/>
    <col min="12" max="12" width="9.140625" style="13" customWidth="1"/>
    <col min="13" max="13" width="12.140625" style="13" bestFit="1" customWidth="1"/>
    <col min="14" max="14" width="8.5703125" style="13" bestFit="1" customWidth="1"/>
    <col min="15" max="15" width="11.85546875" style="13" customWidth="1"/>
    <col min="16" max="16" width="11.42578125" style="13"/>
    <col min="17" max="17" width="21" style="13" bestFit="1" customWidth="1"/>
    <col min="18" max="19" width="11.42578125" style="13"/>
    <col min="20" max="20" width="12.7109375" style="13" bestFit="1" customWidth="1"/>
    <col min="21" max="21" width="12.28515625" style="13" bestFit="1" customWidth="1"/>
    <col min="22" max="22" width="11.42578125" style="13"/>
    <col min="23" max="23" width="12.42578125" style="13" bestFit="1" customWidth="1"/>
    <col min="24" max="24" width="11.42578125" style="13"/>
    <col min="25" max="25" width="19.140625" style="13" bestFit="1" customWidth="1"/>
    <col min="26" max="16384" width="11.42578125" style="13"/>
  </cols>
  <sheetData>
    <row r="1" spans="1:18" ht="20.25">
      <c r="A1" s="24" t="s">
        <v>244</v>
      </c>
    </row>
    <row r="2" spans="1:18" ht="15.75">
      <c r="A2" s="16"/>
      <c r="N2" s="416"/>
      <c r="O2" s="416"/>
    </row>
    <row r="3" spans="1:18" ht="15" customHeight="1" thickBot="1">
      <c r="A3" s="483" t="s">
        <v>253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</row>
    <row r="4" spans="1:18" ht="35.25" customHeight="1" thickBot="1">
      <c r="A4" s="477" t="s">
        <v>0</v>
      </c>
      <c r="B4" s="475" t="s">
        <v>200</v>
      </c>
      <c r="C4" s="410" t="s">
        <v>240</v>
      </c>
      <c r="D4" s="411"/>
      <c r="E4" s="411"/>
      <c r="F4" s="411"/>
      <c r="G4" s="411"/>
      <c r="H4" s="412"/>
      <c r="I4" s="413" t="s">
        <v>241</v>
      </c>
      <c r="J4" s="414"/>
      <c r="K4" s="414"/>
      <c r="L4" s="414"/>
      <c r="M4" s="414"/>
      <c r="N4" s="415"/>
      <c r="O4" s="472" t="s">
        <v>70</v>
      </c>
      <c r="Q4" s="269" t="s">
        <v>197</v>
      </c>
    </row>
    <row r="5" spans="1:18" ht="13.5" thickTop="1">
      <c r="A5" s="478"/>
      <c r="B5" s="476"/>
      <c r="C5" s="421" t="s">
        <v>1</v>
      </c>
      <c r="D5" s="422"/>
      <c r="E5" s="427" t="s">
        <v>72</v>
      </c>
      <c r="F5" s="427" t="s">
        <v>259</v>
      </c>
      <c r="G5" s="425" t="s">
        <v>2</v>
      </c>
      <c r="H5" s="423" t="s">
        <v>95</v>
      </c>
      <c r="I5" s="421" t="s">
        <v>1</v>
      </c>
      <c r="J5" s="422"/>
      <c r="K5" s="427" t="s">
        <v>72</v>
      </c>
      <c r="L5" s="427" t="s">
        <v>259</v>
      </c>
      <c r="M5" s="425" t="s">
        <v>2</v>
      </c>
      <c r="N5" s="423" t="s">
        <v>95</v>
      </c>
      <c r="O5" s="473"/>
    </row>
    <row r="6" spans="1:18" ht="13.5" thickBot="1">
      <c r="A6" s="479"/>
      <c r="B6" s="424"/>
      <c r="C6" s="20" t="s">
        <v>3</v>
      </c>
      <c r="D6" s="21" t="s">
        <v>4</v>
      </c>
      <c r="E6" s="480"/>
      <c r="F6" s="480"/>
      <c r="G6" s="426"/>
      <c r="H6" s="424"/>
      <c r="I6" s="20" t="s">
        <v>3</v>
      </c>
      <c r="J6" s="287" t="s">
        <v>4</v>
      </c>
      <c r="K6" s="480"/>
      <c r="L6" s="480"/>
      <c r="M6" s="426"/>
      <c r="N6" s="424"/>
      <c r="O6" s="474"/>
    </row>
    <row r="7" spans="1:18" ht="24">
      <c r="A7" s="18" t="s">
        <v>6</v>
      </c>
      <c r="B7" s="44" t="s">
        <v>82</v>
      </c>
      <c r="C7" s="238">
        <v>32277292.503289014</v>
      </c>
      <c r="D7" s="240">
        <v>9303.9455790394804</v>
      </c>
      <c r="E7" s="240">
        <v>557.2796183503001</v>
      </c>
      <c r="F7" s="370">
        <v>0</v>
      </c>
      <c r="G7" s="201">
        <f>E7+D7+C7+F7</f>
        <v>32287153.728486404</v>
      </c>
      <c r="H7" s="198">
        <f t="shared" ref="H7:H38" si="0">G7/G$38*100</f>
        <v>13.083847295140474</v>
      </c>
      <c r="I7" s="331">
        <v>111151324.09000006</v>
      </c>
      <c r="J7" s="332">
        <v>519549.24999999971</v>
      </c>
      <c r="K7" s="331">
        <v>0</v>
      </c>
      <c r="L7" s="372">
        <v>0</v>
      </c>
      <c r="M7" s="333">
        <f>SUM(I7:L7)</f>
        <v>111670873.34000006</v>
      </c>
      <c r="N7" s="334">
        <f t="shared" ref="N7:N34" si="1">M7/M$38*100</f>
        <v>10.807478674503633</v>
      </c>
      <c r="O7" s="335">
        <f>M7-G7</f>
        <v>79383719.611513659</v>
      </c>
    </row>
    <row r="8" spans="1:18">
      <c r="A8" s="51" t="s">
        <v>7</v>
      </c>
      <c r="B8" s="42" t="s">
        <v>8</v>
      </c>
      <c r="C8" s="239">
        <v>3303227.7165468652</v>
      </c>
      <c r="D8" s="241">
        <v>3051.84</v>
      </c>
      <c r="E8" s="241">
        <v>1.4334531350487045</v>
      </c>
      <c r="F8" s="371">
        <v>0</v>
      </c>
      <c r="G8" s="201">
        <f t="shared" ref="G8:G37" si="2">E8+D8+C8+F8</f>
        <v>3306280.99</v>
      </c>
      <c r="H8" s="199">
        <f t="shared" si="0"/>
        <v>1.3398169424212611</v>
      </c>
      <c r="I8" s="336">
        <v>1139558.4099999999</v>
      </c>
      <c r="J8" s="337">
        <v>11969.2</v>
      </c>
      <c r="K8" s="338">
        <v>0</v>
      </c>
      <c r="L8" s="373">
        <v>0</v>
      </c>
      <c r="M8" s="333">
        <f t="shared" ref="M8:M37" si="3">SUM(I8:L8)</f>
        <v>1151527.6099999999</v>
      </c>
      <c r="N8" s="334">
        <f t="shared" si="1"/>
        <v>0.11144454875252907</v>
      </c>
      <c r="O8" s="335">
        <f t="shared" ref="O8:O36" si="4">M8-G8</f>
        <v>-2154753.3800000004</v>
      </c>
    </row>
    <row r="9" spans="1:18" ht="24">
      <c r="A9" s="18" t="s">
        <v>9</v>
      </c>
      <c r="B9" s="44" t="s">
        <v>10</v>
      </c>
      <c r="C9" s="239">
        <v>64556310.290000007</v>
      </c>
      <c r="D9" s="241">
        <v>269364.19999999995</v>
      </c>
      <c r="E9" s="241">
        <v>2928.88</v>
      </c>
      <c r="F9" s="371">
        <v>5186051.6059999997</v>
      </c>
      <c r="G9" s="201">
        <f t="shared" si="2"/>
        <v>70014654.976000011</v>
      </c>
      <c r="H9" s="199">
        <f t="shared" si="0"/>
        <v>28.372307507543049</v>
      </c>
      <c r="I9" s="336">
        <v>149865012.016</v>
      </c>
      <c r="J9" s="337">
        <v>1392160.6390000002</v>
      </c>
      <c r="K9" s="338">
        <v>0</v>
      </c>
      <c r="L9" s="373">
        <v>12100573.475</v>
      </c>
      <c r="M9" s="333">
        <f t="shared" si="3"/>
        <v>163357746.13</v>
      </c>
      <c r="N9" s="334">
        <f t="shared" si="1"/>
        <v>15.809721056265472</v>
      </c>
      <c r="O9" s="335">
        <f t="shared" si="4"/>
        <v>93343091.153999984</v>
      </c>
    </row>
    <row r="10" spans="1:18">
      <c r="A10" s="43" t="s">
        <v>78</v>
      </c>
      <c r="B10" s="44" t="s">
        <v>79</v>
      </c>
      <c r="C10" s="239">
        <v>61298.279995581106</v>
      </c>
      <c r="D10" s="241">
        <v>0</v>
      </c>
      <c r="E10" s="241">
        <v>0</v>
      </c>
      <c r="F10" s="371">
        <v>0</v>
      </c>
      <c r="G10" s="201">
        <f t="shared" si="2"/>
        <v>61298.279995581106</v>
      </c>
      <c r="H10" s="199">
        <f t="shared" si="0"/>
        <v>2.4840137401437808E-2</v>
      </c>
      <c r="I10" s="336">
        <v>2123049.16</v>
      </c>
      <c r="J10" s="337">
        <v>5209.68</v>
      </c>
      <c r="K10" s="338">
        <v>0</v>
      </c>
      <c r="L10" s="373">
        <v>0</v>
      </c>
      <c r="M10" s="333">
        <f t="shared" si="3"/>
        <v>2128258.8400000003</v>
      </c>
      <c r="N10" s="334">
        <f t="shared" si="1"/>
        <v>0.20597234837676279</v>
      </c>
      <c r="O10" s="335">
        <f t="shared" si="4"/>
        <v>2066960.5600044192</v>
      </c>
      <c r="Q10" s="380"/>
    </row>
    <row r="11" spans="1:18">
      <c r="A11" s="18" t="s">
        <v>47</v>
      </c>
      <c r="B11" s="17" t="s">
        <v>48</v>
      </c>
      <c r="C11" s="239">
        <v>12834.11</v>
      </c>
      <c r="D11" s="241">
        <v>12793.81</v>
      </c>
      <c r="E11" s="241">
        <v>0</v>
      </c>
      <c r="F11" s="371">
        <v>0</v>
      </c>
      <c r="G11" s="201">
        <f t="shared" si="2"/>
        <v>25627.919999999998</v>
      </c>
      <c r="H11" s="199">
        <f t="shared" si="0"/>
        <v>1.0385300438429064E-2</v>
      </c>
      <c r="I11" s="336">
        <v>88372.06</v>
      </c>
      <c r="J11" s="337">
        <v>0</v>
      </c>
      <c r="K11" s="338">
        <v>0</v>
      </c>
      <c r="L11" s="373">
        <v>0</v>
      </c>
      <c r="M11" s="333">
        <f t="shared" si="3"/>
        <v>88372.06</v>
      </c>
      <c r="N11" s="334">
        <f t="shared" si="1"/>
        <v>8.5526254546614174E-3</v>
      </c>
      <c r="O11" s="335">
        <f t="shared" si="4"/>
        <v>62744.14</v>
      </c>
      <c r="Q11" s="380"/>
    </row>
    <row r="12" spans="1:18">
      <c r="A12" s="18" t="s">
        <v>74</v>
      </c>
      <c r="B12" s="314" t="s">
        <v>205</v>
      </c>
      <c r="C12" s="239">
        <v>477736.40987869829</v>
      </c>
      <c r="D12" s="241">
        <v>0</v>
      </c>
      <c r="E12" s="241">
        <v>0</v>
      </c>
      <c r="F12" s="371">
        <v>25930.671707481291</v>
      </c>
      <c r="G12" s="201">
        <f t="shared" si="2"/>
        <v>503667.08158617956</v>
      </c>
      <c r="H12" s="199">
        <f t="shared" si="0"/>
        <v>0.20410294566313766</v>
      </c>
      <c r="I12" s="336">
        <v>430967.32999999996</v>
      </c>
      <c r="J12" s="337">
        <v>0</v>
      </c>
      <c r="K12" s="338">
        <v>0</v>
      </c>
      <c r="L12" s="373">
        <v>0</v>
      </c>
      <c r="M12" s="333">
        <f t="shared" si="3"/>
        <v>430967.32999999996</v>
      </c>
      <c r="N12" s="334">
        <f t="shared" si="1"/>
        <v>4.1708908411611845E-2</v>
      </c>
      <c r="O12" s="335">
        <f t="shared" si="4"/>
        <v>-72699.751586179598</v>
      </c>
      <c r="Q12" s="354"/>
    </row>
    <row r="13" spans="1:18" ht="24">
      <c r="A13" s="18" t="s">
        <v>66</v>
      </c>
      <c r="B13" s="315" t="s">
        <v>190</v>
      </c>
      <c r="C13" s="239">
        <v>17690.949965188353</v>
      </c>
      <c r="D13" s="241">
        <v>0</v>
      </c>
      <c r="E13" s="241">
        <v>0</v>
      </c>
      <c r="F13" s="371">
        <v>0</v>
      </c>
      <c r="G13" s="201">
        <f t="shared" si="2"/>
        <v>17690.949965188353</v>
      </c>
      <c r="H13" s="199">
        <f t="shared" si="0"/>
        <v>7.1689715915180504E-3</v>
      </c>
      <c r="I13" s="336">
        <v>5882837.4900000002</v>
      </c>
      <c r="J13" s="337">
        <v>15703.2</v>
      </c>
      <c r="K13" s="338">
        <v>0</v>
      </c>
      <c r="L13" s="373">
        <v>0</v>
      </c>
      <c r="M13" s="333">
        <f t="shared" si="3"/>
        <v>5898540.6900000004</v>
      </c>
      <c r="N13" s="334">
        <f t="shared" si="1"/>
        <v>0.5708592653679242</v>
      </c>
      <c r="O13" s="335">
        <f t="shared" si="4"/>
        <v>5880849.7400348121</v>
      </c>
      <c r="Q13" s="353"/>
    </row>
    <row r="14" spans="1:18">
      <c r="A14" s="43" t="s">
        <v>11</v>
      </c>
      <c r="B14" s="44" t="s">
        <v>12</v>
      </c>
      <c r="C14" s="239">
        <v>13147932.899999999</v>
      </c>
      <c r="D14" s="241">
        <v>47019277.32</v>
      </c>
      <c r="E14" s="241">
        <v>48927.48</v>
      </c>
      <c r="F14" s="371">
        <v>0</v>
      </c>
      <c r="G14" s="201">
        <f t="shared" si="2"/>
        <v>60216137.699999996</v>
      </c>
      <c r="H14" s="199">
        <f t="shared" si="0"/>
        <v>24.401616723335913</v>
      </c>
      <c r="I14" s="336">
        <v>32634854.230000008</v>
      </c>
      <c r="J14" s="337">
        <v>84351.52</v>
      </c>
      <c r="K14" s="338">
        <v>0</v>
      </c>
      <c r="L14" s="373">
        <v>0</v>
      </c>
      <c r="M14" s="333">
        <f t="shared" si="3"/>
        <v>32719205.750000007</v>
      </c>
      <c r="N14" s="334">
        <f t="shared" si="1"/>
        <v>3.1665563975056625</v>
      </c>
      <c r="O14" s="335">
        <f t="shared" si="4"/>
        <v>-27496931.949999988</v>
      </c>
      <c r="Q14" s="352"/>
    </row>
    <row r="15" spans="1:18">
      <c r="A15" s="43" t="s">
        <v>13</v>
      </c>
      <c r="B15" s="44" t="s">
        <v>14</v>
      </c>
      <c r="C15" s="239">
        <v>3233.37</v>
      </c>
      <c r="D15" s="241">
        <v>2455.7199999999998</v>
      </c>
      <c r="E15" s="241">
        <v>0</v>
      </c>
      <c r="F15" s="371">
        <v>0</v>
      </c>
      <c r="G15" s="201">
        <f t="shared" si="2"/>
        <v>5689.09</v>
      </c>
      <c r="H15" s="199">
        <f t="shared" si="0"/>
        <v>2.3054117880523433E-3</v>
      </c>
      <c r="I15" s="336">
        <v>509076.04000000004</v>
      </c>
      <c r="J15" s="337">
        <v>0</v>
      </c>
      <c r="K15" s="338">
        <v>0</v>
      </c>
      <c r="L15" s="373">
        <v>0</v>
      </c>
      <c r="M15" s="333">
        <f t="shared" si="3"/>
        <v>509076.04000000004</v>
      </c>
      <c r="N15" s="334">
        <f t="shared" si="1"/>
        <v>4.926824946778692E-2</v>
      </c>
      <c r="O15" s="335">
        <f t="shared" si="4"/>
        <v>503386.95</v>
      </c>
      <c r="Q15" s="355"/>
    </row>
    <row r="16" spans="1:18">
      <c r="A16" s="43" t="s">
        <v>15</v>
      </c>
      <c r="B16" s="44" t="s">
        <v>16</v>
      </c>
      <c r="C16" s="239">
        <v>144937.31</v>
      </c>
      <c r="D16" s="241">
        <v>45601.310000000005</v>
      </c>
      <c r="E16" s="241">
        <v>0</v>
      </c>
      <c r="F16" s="371">
        <v>0</v>
      </c>
      <c r="G16" s="201">
        <f t="shared" si="2"/>
        <v>190538.62</v>
      </c>
      <c r="H16" s="199">
        <f t="shared" si="0"/>
        <v>7.7212696692656638E-2</v>
      </c>
      <c r="I16" s="336">
        <v>1166143.8700000001</v>
      </c>
      <c r="J16" s="337">
        <v>0</v>
      </c>
      <c r="K16" s="338">
        <v>0</v>
      </c>
      <c r="L16" s="373">
        <v>0</v>
      </c>
      <c r="M16" s="333">
        <f t="shared" si="3"/>
        <v>1166143.8700000001</v>
      </c>
      <c r="N16" s="334">
        <f t="shared" si="1"/>
        <v>0.11285910667194331</v>
      </c>
      <c r="O16" s="335">
        <f t="shared" si="4"/>
        <v>975605.25000000012</v>
      </c>
      <c r="Q16" s="356"/>
    </row>
    <row r="17" spans="1:15">
      <c r="A17" s="43" t="s">
        <v>17</v>
      </c>
      <c r="B17" s="44" t="s">
        <v>206</v>
      </c>
      <c r="C17" s="239">
        <v>441153.85999999993</v>
      </c>
      <c r="D17" s="241">
        <v>0</v>
      </c>
      <c r="E17" s="241">
        <v>0</v>
      </c>
      <c r="F17" s="371">
        <v>0</v>
      </c>
      <c r="G17" s="201">
        <f t="shared" si="2"/>
        <v>441153.85999999993</v>
      </c>
      <c r="H17" s="199">
        <f t="shared" si="0"/>
        <v>0.17877047281529962</v>
      </c>
      <c r="I17" s="336">
        <v>2281826.6699999995</v>
      </c>
      <c r="J17" s="337">
        <v>0</v>
      </c>
      <c r="K17" s="338">
        <v>0</v>
      </c>
      <c r="L17" s="373">
        <v>0</v>
      </c>
      <c r="M17" s="333">
        <f t="shared" si="3"/>
        <v>2281826.6699999995</v>
      </c>
      <c r="N17" s="334">
        <f t="shared" si="1"/>
        <v>0.2208346038438766</v>
      </c>
      <c r="O17" s="335">
        <f t="shared" si="4"/>
        <v>1840672.8099999996</v>
      </c>
    </row>
    <row r="18" spans="1:15">
      <c r="A18" s="43" t="s">
        <v>18</v>
      </c>
      <c r="B18" s="44" t="s">
        <v>19</v>
      </c>
      <c r="C18" s="239">
        <v>220120.27263606922</v>
      </c>
      <c r="D18" s="241">
        <v>-5508.163342696801</v>
      </c>
      <c r="E18" s="241">
        <v>0</v>
      </c>
      <c r="F18" s="371">
        <v>0</v>
      </c>
      <c r="G18" s="201">
        <f t="shared" si="2"/>
        <v>214612.10929337243</v>
      </c>
      <c r="H18" s="199">
        <f t="shared" si="0"/>
        <v>8.6968089206484453E-2</v>
      </c>
      <c r="I18" s="336">
        <v>1471889.4199999997</v>
      </c>
      <c r="J18" s="337">
        <v>0</v>
      </c>
      <c r="K18" s="338">
        <v>0</v>
      </c>
      <c r="L18" s="373">
        <v>0</v>
      </c>
      <c r="M18" s="333">
        <f t="shared" si="3"/>
        <v>1471889.4199999997</v>
      </c>
      <c r="N18" s="334">
        <f t="shared" si="1"/>
        <v>0.14244908311449148</v>
      </c>
      <c r="O18" s="335">
        <f t="shared" si="4"/>
        <v>1257277.3107066273</v>
      </c>
    </row>
    <row r="19" spans="1:15">
      <c r="A19" s="43" t="s">
        <v>67</v>
      </c>
      <c r="B19" s="44" t="s">
        <v>207</v>
      </c>
      <c r="C19" s="239">
        <v>192273.06000000003</v>
      </c>
      <c r="D19" s="241">
        <v>0</v>
      </c>
      <c r="E19" s="241">
        <v>0</v>
      </c>
      <c r="F19" s="371">
        <v>0</v>
      </c>
      <c r="G19" s="201">
        <f t="shared" si="2"/>
        <v>192273.06000000003</v>
      </c>
      <c r="H19" s="199">
        <f t="shared" si="0"/>
        <v>7.7915550474486353E-2</v>
      </c>
      <c r="I19" s="336">
        <v>996229.62</v>
      </c>
      <c r="J19" s="337">
        <v>6958.8</v>
      </c>
      <c r="K19" s="338">
        <v>0</v>
      </c>
      <c r="L19" s="373">
        <v>0</v>
      </c>
      <c r="M19" s="333">
        <f t="shared" si="3"/>
        <v>1003188.42</v>
      </c>
      <c r="N19" s="334">
        <f t="shared" si="1"/>
        <v>9.7088319732657233E-2</v>
      </c>
      <c r="O19" s="335">
        <f t="shared" si="4"/>
        <v>810915.36</v>
      </c>
    </row>
    <row r="20" spans="1:15">
      <c r="A20" s="43" t="s">
        <v>20</v>
      </c>
      <c r="B20" s="44" t="s">
        <v>21</v>
      </c>
      <c r="C20" s="239">
        <v>9793897.6331739575</v>
      </c>
      <c r="D20" s="241">
        <v>0</v>
      </c>
      <c r="E20" s="241">
        <v>0</v>
      </c>
      <c r="F20" s="371">
        <v>0</v>
      </c>
      <c r="G20" s="201">
        <f t="shared" si="2"/>
        <v>9793897.6331739575</v>
      </c>
      <c r="H20" s="199">
        <f t="shared" si="0"/>
        <v>3.9688187486042912</v>
      </c>
      <c r="I20" s="336">
        <v>20246.04</v>
      </c>
      <c r="J20" s="337">
        <v>0</v>
      </c>
      <c r="K20" s="338">
        <v>0</v>
      </c>
      <c r="L20" s="373">
        <v>0</v>
      </c>
      <c r="M20" s="333">
        <f t="shared" si="3"/>
        <v>20246.04</v>
      </c>
      <c r="N20" s="334">
        <f t="shared" si="1"/>
        <v>1.9594065936687824E-3</v>
      </c>
      <c r="O20" s="335">
        <f t="shared" si="4"/>
        <v>-9773651.5931739584</v>
      </c>
    </row>
    <row r="21" spans="1:15">
      <c r="A21" s="43" t="s">
        <v>22</v>
      </c>
      <c r="B21" s="44" t="s">
        <v>23</v>
      </c>
      <c r="C21" s="239">
        <v>42.289999999999992</v>
      </c>
      <c r="D21" s="241">
        <v>60212.07</v>
      </c>
      <c r="E21" s="241">
        <v>292.37682604382803</v>
      </c>
      <c r="F21" s="371">
        <v>0</v>
      </c>
      <c r="G21" s="201">
        <f t="shared" si="2"/>
        <v>60546.736826043831</v>
      </c>
      <c r="H21" s="199">
        <f t="shared" si="0"/>
        <v>2.4535586676755754E-2</v>
      </c>
      <c r="I21" s="336">
        <v>55951030.810000002</v>
      </c>
      <c r="J21" s="337">
        <v>456005.33999999997</v>
      </c>
      <c r="K21" s="338">
        <v>553</v>
      </c>
      <c r="L21" s="373">
        <v>0</v>
      </c>
      <c r="M21" s="333">
        <f t="shared" si="3"/>
        <v>56407589.150000006</v>
      </c>
      <c r="N21" s="334">
        <f t="shared" si="1"/>
        <v>5.459112108514538</v>
      </c>
      <c r="O21" s="335">
        <f t="shared" si="4"/>
        <v>56347042.413173959</v>
      </c>
    </row>
    <row r="22" spans="1:15">
      <c r="A22" s="43" t="s">
        <v>68</v>
      </c>
      <c r="B22" s="45" t="s">
        <v>69</v>
      </c>
      <c r="C22" s="239">
        <v>4356.6306494300143</v>
      </c>
      <c r="D22" s="241">
        <v>0</v>
      </c>
      <c r="E22" s="241">
        <v>0</v>
      </c>
      <c r="F22" s="371">
        <v>0</v>
      </c>
      <c r="G22" s="201">
        <f t="shared" si="2"/>
        <v>4356.6306494300143</v>
      </c>
      <c r="H22" s="199">
        <f t="shared" si="0"/>
        <v>1.765454168484958E-3</v>
      </c>
      <c r="I22" s="336">
        <v>590363.75</v>
      </c>
      <c r="J22" s="337">
        <v>14140.56</v>
      </c>
      <c r="K22" s="338">
        <v>0</v>
      </c>
      <c r="L22" s="373">
        <v>0</v>
      </c>
      <c r="M22" s="333">
        <f t="shared" si="3"/>
        <v>604504.31000000006</v>
      </c>
      <c r="N22" s="334">
        <f t="shared" si="1"/>
        <v>5.8503773128730244E-2</v>
      </c>
      <c r="O22" s="335">
        <f t="shared" si="4"/>
        <v>600147.67935057008</v>
      </c>
    </row>
    <row r="23" spans="1:15">
      <c r="A23" s="43" t="s">
        <v>177</v>
      </c>
      <c r="B23" s="213" t="s">
        <v>186</v>
      </c>
      <c r="C23" s="239">
        <v>11020064.149999999</v>
      </c>
      <c r="D23" s="241">
        <v>0</v>
      </c>
      <c r="E23" s="241">
        <v>0</v>
      </c>
      <c r="F23" s="371">
        <v>0</v>
      </c>
      <c r="G23" s="201">
        <f t="shared" si="2"/>
        <v>11020064.149999999</v>
      </c>
      <c r="H23" s="199">
        <f t="shared" si="0"/>
        <v>4.4657029149658429</v>
      </c>
      <c r="I23" s="336">
        <v>7634.68</v>
      </c>
      <c r="J23" s="337">
        <v>0</v>
      </c>
      <c r="K23" s="338">
        <v>0</v>
      </c>
      <c r="L23" s="373">
        <v>0</v>
      </c>
      <c r="M23" s="333">
        <f t="shared" si="3"/>
        <v>7634.68</v>
      </c>
      <c r="N23" s="334">
        <f t="shared" si="1"/>
        <v>7.3888238552088112E-4</v>
      </c>
      <c r="O23" s="335">
        <f t="shared" si="4"/>
        <v>-11012429.469999999</v>
      </c>
    </row>
    <row r="24" spans="1:15">
      <c r="A24" s="43" t="s">
        <v>24</v>
      </c>
      <c r="B24" s="44" t="s">
        <v>25</v>
      </c>
      <c r="C24" s="239">
        <v>80423.520000000004</v>
      </c>
      <c r="D24" s="241">
        <v>0</v>
      </c>
      <c r="E24" s="241">
        <v>0</v>
      </c>
      <c r="F24" s="371">
        <v>0</v>
      </c>
      <c r="G24" s="201">
        <f t="shared" si="2"/>
        <v>80423.520000000004</v>
      </c>
      <c r="H24" s="199">
        <f t="shared" si="0"/>
        <v>3.2590331853541321E-2</v>
      </c>
      <c r="I24" s="336">
        <v>1291290.31</v>
      </c>
      <c r="J24" s="337">
        <v>0</v>
      </c>
      <c r="K24" s="338">
        <v>0</v>
      </c>
      <c r="L24" s="373">
        <v>0</v>
      </c>
      <c r="M24" s="333">
        <f t="shared" si="3"/>
        <v>1291290.31</v>
      </c>
      <c r="N24" s="334">
        <f t="shared" si="1"/>
        <v>0.12497074725499929</v>
      </c>
      <c r="O24" s="335">
        <f t="shared" si="4"/>
        <v>1210866.79</v>
      </c>
    </row>
    <row r="25" spans="1:15" ht="24">
      <c r="A25" s="19" t="s">
        <v>26</v>
      </c>
      <c r="B25" s="44" t="s">
        <v>27</v>
      </c>
      <c r="C25" s="239">
        <v>1335348.4942710262</v>
      </c>
      <c r="D25" s="241">
        <v>83327.009999999995</v>
      </c>
      <c r="E25" s="241">
        <v>0</v>
      </c>
      <c r="F25" s="371">
        <v>0</v>
      </c>
      <c r="G25" s="201">
        <f t="shared" si="2"/>
        <v>1418675.5042710262</v>
      </c>
      <c r="H25" s="199">
        <f t="shared" si="0"/>
        <v>0.57489532262058196</v>
      </c>
      <c r="I25" s="336">
        <v>270575137.93000001</v>
      </c>
      <c r="J25" s="337">
        <v>-403196.7</v>
      </c>
      <c r="K25" s="338">
        <v>0</v>
      </c>
      <c r="L25" s="373">
        <v>0</v>
      </c>
      <c r="M25" s="333">
        <f t="shared" si="3"/>
        <v>270171941.23000002</v>
      </c>
      <c r="N25" s="334">
        <f t="shared" si="1"/>
        <v>26.147171647905303</v>
      </c>
      <c r="O25" s="335">
        <f t="shared" si="4"/>
        <v>268753265.72572899</v>
      </c>
    </row>
    <row r="26" spans="1:15">
      <c r="A26" s="43" t="s">
        <v>28</v>
      </c>
      <c r="B26" s="44" t="s">
        <v>29</v>
      </c>
      <c r="C26" s="239">
        <v>963413.7590979191</v>
      </c>
      <c r="D26" s="241">
        <v>1829.76</v>
      </c>
      <c r="E26" s="241">
        <v>0</v>
      </c>
      <c r="F26" s="371">
        <v>0</v>
      </c>
      <c r="G26" s="201">
        <f t="shared" si="2"/>
        <v>965243.51909791911</v>
      </c>
      <c r="H26" s="199">
        <f t="shared" si="0"/>
        <v>0.39114933799069274</v>
      </c>
      <c r="I26" s="336">
        <v>94916.639999999985</v>
      </c>
      <c r="J26" s="337">
        <v>0</v>
      </c>
      <c r="K26" s="338">
        <v>0</v>
      </c>
      <c r="L26" s="373">
        <v>0</v>
      </c>
      <c r="M26" s="333">
        <f t="shared" si="3"/>
        <v>94916.639999999985</v>
      </c>
      <c r="N26" s="334">
        <f t="shared" si="1"/>
        <v>9.1860082398773323E-3</v>
      </c>
      <c r="O26" s="335">
        <f t="shared" si="4"/>
        <v>-870326.8790979191</v>
      </c>
    </row>
    <row r="27" spans="1:15">
      <c r="A27" s="43" t="s">
        <v>45</v>
      </c>
      <c r="B27" s="44" t="s">
        <v>46</v>
      </c>
      <c r="C27" s="239">
        <v>26013101.309999999</v>
      </c>
      <c r="D27" s="241">
        <v>5507.7355828403279</v>
      </c>
      <c r="E27" s="241">
        <v>0</v>
      </c>
      <c r="F27" s="371">
        <v>0</v>
      </c>
      <c r="G27" s="201">
        <f t="shared" si="2"/>
        <v>26018609.045582838</v>
      </c>
      <c r="H27" s="199">
        <f t="shared" si="0"/>
        <v>10.543620860702152</v>
      </c>
      <c r="I27" s="336">
        <v>2945331.3899999997</v>
      </c>
      <c r="J27" s="337">
        <v>1912.2</v>
      </c>
      <c r="K27" s="338">
        <v>0</v>
      </c>
      <c r="L27" s="373">
        <v>0</v>
      </c>
      <c r="M27" s="333">
        <f t="shared" si="3"/>
        <v>2947243.59</v>
      </c>
      <c r="N27" s="334">
        <f t="shared" si="1"/>
        <v>0.28523348385136316</v>
      </c>
      <c r="O27" s="335">
        <f t="shared" si="4"/>
        <v>-23071365.455582839</v>
      </c>
    </row>
    <row r="28" spans="1:15" ht="24">
      <c r="A28" s="43" t="s">
        <v>30</v>
      </c>
      <c r="B28" s="44" t="s">
        <v>208</v>
      </c>
      <c r="C28" s="239">
        <v>382332.71601600322</v>
      </c>
      <c r="D28" s="241">
        <v>134361.76999999999</v>
      </c>
      <c r="E28" s="241">
        <v>0</v>
      </c>
      <c r="F28" s="371">
        <v>0</v>
      </c>
      <c r="G28" s="201">
        <f t="shared" si="2"/>
        <v>516694.48601600318</v>
      </c>
      <c r="H28" s="199">
        <f t="shared" si="0"/>
        <v>0.20938209078832296</v>
      </c>
      <c r="I28" s="336">
        <v>55283302.220000006</v>
      </c>
      <c r="J28" s="337">
        <v>149099.29</v>
      </c>
      <c r="K28" s="338">
        <v>0</v>
      </c>
      <c r="L28" s="373">
        <v>0</v>
      </c>
      <c r="M28" s="333">
        <f t="shared" si="3"/>
        <v>55432401.510000005</v>
      </c>
      <c r="N28" s="334">
        <f t="shared" si="1"/>
        <v>5.364733697137285</v>
      </c>
      <c r="O28" s="335">
        <f t="shared" si="4"/>
        <v>54915707.023984</v>
      </c>
    </row>
    <row r="29" spans="1:15">
      <c r="A29" s="43" t="s">
        <v>31</v>
      </c>
      <c r="B29" s="44" t="s">
        <v>32</v>
      </c>
      <c r="C29" s="239">
        <v>18190.62000181686</v>
      </c>
      <c r="D29" s="241">
        <v>230604.10614569957</v>
      </c>
      <c r="E29" s="241">
        <v>331.27999999899998</v>
      </c>
      <c r="F29" s="371">
        <v>0</v>
      </c>
      <c r="G29" s="201">
        <f t="shared" si="2"/>
        <v>249126.00614751544</v>
      </c>
      <c r="H29" s="199">
        <f t="shared" si="0"/>
        <v>0.10095428816961634</v>
      </c>
      <c r="I29" s="336">
        <v>9232074.5399999972</v>
      </c>
      <c r="J29" s="337">
        <v>57978.680000000008</v>
      </c>
      <c r="K29" s="338">
        <v>0</v>
      </c>
      <c r="L29" s="373">
        <v>0</v>
      </c>
      <c r="M29" s="333">
        <f t="shared" si="3"/>
        <v>9290053.2199999969</v>
      </c>
      <c r="N29" s="334">
        <f t="shared" si="1"/>
        <v>0.89908898405821081</v>
      </c>
      <c r="O29" s="335">
        <f t="shared" si="4"/>
        <v>9040927.2138524819</v>
      </c>
    </row>
    <row r="30" spans="1:15">
      <c r="A30" s="43" t="s">
        <v>33</v>
      </c>
      <c r="B30" s="44" t="s">
        <v>34</v>
      </c>
      <c r="C30" s="239">
        <v>851515.83000125422</v>
      </c>
      <c r="D30" s="241">
        <v>103659.63</v>
      </c>
      <c r="E30" s="241">
        <v>13984.7</v>
      </c>
      <c r="F30" s="371">
        <v>0</v>
      </c>
      <c r="G30" s="201">
        <f t="shared" si="2"/>
        <v>969160.16000125417</v>
      </c>
      <c r="H30" s="199">
        <f t="shared" si="0"/>
        <v>0.39273649342471062</v>
      </c>
      <c r="I30" s="336">
        <v>45217.16</v>
      </c>
      <c r="J30" s="337">
        <v>0</v>
      </c>
      <c r="K30" s="338">
        <v>0</v>
      </c>
      <c r="L30" s="373">
        <v>0</v>
      </c>
      <c r="M30" s="333">
        <f t="shared" si="3"/>
        <v>45217.16</v>
      </c>
      <c r="N30" s="334">
        <f t="shared" si="1"/>
        <v>4.3761052260578521E-3</v>
      </c>
      <c r="O30" s="335">
        <f t="shared" si="4"/>
        <v>-923943.00000125414</v>
      </c>
    </row>
    <row r="31" spans="1:15" ht="25.5">
      <c r="A31" s="19" t="s">
        <v>35</v>
      </c>
      <c r="B31" s="44" t="s">
        <v>36</v>
      </c>
      <c r="C31" s="239">
        <v>93051.510000000009</v>
      </c>
      <c r="D31" s="241">
        <v>0</v>
      </c>
      <c r="E31" s="241">
        <v>0</v>
      </c>
      <c r="F31" s="371">
        <v>0</v>
      </c>
      <c r="G31" s="201">
        <f t="shared" si="2"/>
        <v>93051.510000000009</v>
      </c>
      <c r="H31" s="199">
        <f t="shared" si="0"/>
        <v>3.7707620735490305E-2</v>
      </c>
      <c r="I31" s="336">
        <v>2277829.6000000006</v>
      </c>
      <c r="J31" s="337">
        <v>0</v>
      </c>
      <c r="K31" s="338">
        <v>0</v>
      </c>
      <c r="L31" s="373">
        <v>0</v>
      </c>
      <c r="M31" s="333">
        <f t="shared" si="3"/>
        <v>2277829.6000000006</v>
      </c>
      <c r="N31" s="334">
        <f t="shared" si="1"/>
        <v>0.22044776842750113</v>
      </c>
      <c r="O31" s="335">
        <f t="shared" si="4"/>
        <v>2184778.0900000008</v>
      </c>
    </row>
    <row r="32" spans="1:15">
      <c r="A32" s="19" t="s">
        <v>107</v>
      </c>
      <c r="B32" s="44" t="s">
        <v>173</v>
      </c>
      <c r="C32" s="239">
        <v>349285.74</v>
      </c>
      <c r="D32" s="241">
        <v>0</v>
      </c>
      <c r="E32" s="241">
        <v>0</v>
      </c>
      <c r="F32" s="371">
        <v>0</v>
      </c>
      <c r="G32" s="201">
        <f t="shared" si="2"/>
        <v>349285.74</v>
      </c>
      <c r="H32" s="199">
        <f t="shared" si="0"/>
        <v>0.1415424017539863</v>
      </c>
      <c r="I32" s="336">
        <v>12302341.02</v>
      </c>
      <c r="J32" s="337">
        <v>191107.07</v>
      </c>
      <c r="K32" s="338">
        <v>0</v>
      </c>
      <c r="L32" s="373">
        <v>0</v>
      </c>
      <c r="M32" s="333">
        <f t="shared" si="3"/>
        <v>12493448.09</v>
      </c>
      <c r="N32" s="334">
        <f t="shared" si="1"/>
        <v>1.2091127235353014</v>
      </c>
      <c r="O32" s="335">
        <f t="shared" si="4"/>
        <v>12144162.35</v>
      </c>
    </row>
    <row r="33" spans="1:16">
      <c r="A33" s="43" t="s">
        <v>37</v>
      </c>
      <c r="B33" s="44" t="s">
        <v>38</v>
      </c>
      <c r="C33" s="239">
        <v>692636.64983862557</v>
      </c>
      <c r="D33" s="241">
        <v>0</v>
      </c>
      <c r="E33" s="241">
        <v>0</v>
      </c>
      <c r="F33" s="371">
        <v>0</v>
      </c>
      <c r="G33" s="201">
        <f t="shared" si="2"/>
        <v>692636.64983862557</v>
      </c>
      <c r="H33" s="199">
        <f t="shared" si="0"/>
        <v>0.28067980949063043</v>
      </c>
      <c r="I33" s="336">
        <v>206654265.11000001</v>
      </c>
      <c r="J33" s="337">
        <v>48425284.439999998</v>
      </c>
      <c r="K33" s="338">
        <v>0</v>
      </c>
      <c r="L33" s="373">
        <v>0</v>
      </c>
      <c r="M33" s="333">
        <f t="shared" si="3"/>
        <v>255079549.55000001</v>
      </c>
      <c r="N33" s="334">
        <f t="shared" si="1"/>
        <v>24.686533825791752</v>
      </c>
      <c r="O33" s="335">
        <f t="shared" si="4"/>
        <v>254386912.90016139</v>
      </c>
    </row>
    <row r="34" spans="1:16">
      <c r="A34" s="43" t="s">
        <v>39</v>
      </c>
      <c r="B34" s="44" t="s">
        <v>40</v>
      </c>
      <c r="C34" s="239">
        <v>292255.9133459978</v>
      </c>
      <c r="D34" s="241">
        <v>0</v>
      </c>
      <c r="E34" s="241">
        <v>0</v>
      </c>
      <c r="F34" s="371">
        <v>0</v>
      </c>
      <c r="G34" s="201">
        <f t="shared" si="2"/>
        <v>292255.9133459978</v>
      </c>
      <c r="H34" s="199">
        <f t="shared" si="0"/>
        <v>0.11843198609195275</v>
      </c>
      <c r="I34" s="336">
        <v>644046.39000000013</v>
      </c>
      <c r="J34" s="337">
        <v>0</v>
      </c>
      <c r="K34" s="338">
        <v>0</v>
      </c>
      <c r="L34" s="373">
        <v>0</v>
      </c>
      <c r="M34" s="333">
        <f t="shared" si="3"/>
        <v>644046.39000000013</v>
      </c>
      <c r="N34" s="334">
        <f t="shared" si="1"/>
        <v>6.2330645558073397E-2</v>
      </c>
      <c r="O34" s="335">
        <f t="shared" si="4"/>
        <v>351790.47665400233</v>
      </c>
    </row>
    <row r="35" spans="1:16">
      <c r="A35" s="51" t="s">
        <v>41</v>
      </c>
      <c r="B35" s="52" t="s">
        <v>209</v>
      </c>
      <c r="C35" s="239">
        <v>26859.499999575895</v>
      </c>
      <c r="D35" s="241">
        <v>0</v>
      </c>
      <c r="E35" s="241">
        <v>0</v>
      </c>
      <c r="F35" s="371">
        <v>0</v>
      </c>
      <c r="G35" s="201">
        <f t="shared" si="2"/>
        <v>26859.499999575895</v>
      </c>
      <c r="H35" s="199">
        <f t="shared" si="0"/>
        <v>1.08843783311943E-2</v>
      </c>
      <c r="I35" s="336">
        <v>270197.47000000003</v>
      </c>
      <c r="J35" s="337">
        <v>0</v>
      </c>
      <c r="K35" s="338">
        <v>0</v>
      </c>
      <c r="L35" s="373">
        <v>0</v>
      </c>
      <c r="M35" s="333">
        <f t="shared" si="3"/>
        <v>270197.47000000003</v>
      </c>
      <c r="N35" s="334"/>
      <c r="O35" s="335">
        <f t="shared" si="4"/>
        <v>243337.97000042413</v>
      </c>
    </row>
    <row r="36" spans="1:16">
      <c r="A36" s="43" t="s">
        <v>42</v>
      </c>
      <c r="B36" s="44" t="s">
        <v>43</v>
      </c>
      <c r="C36" s="239">
        <v>322467.50487636024</v>
      </c>
      <c r="D36" s="241">
        <v>17393.020078433903</v>
      </c>
      <c r="E36" s="241">
        <v>0</v>
      </c>
      <c r="F36" s="371">
        <v>0</v>
      </c>
      <c r="G36" s="201">
        <f t="shared" si="2"/>
        <v>339860.52495479415</v>
      </c>
      <c r="H36" s="199">
        <f t="shared" si="0"/>
        <v>0.13772298566632624</v>
      </c>
      <c r="I36" s="336">
        <v>10443355.15</v>
      </c>
      <c r="J36" s="337">
        <v>7442.4</v>
      </c>
      <c r="K36" s="338">
        <v>0</v>
      </c>
      <c r="L36" s="373">
        <v>0</v>
      </c>
      <c r="M36" s="333">
        <f t="shared" si="3"/>
        <v>10450797.550000001</v>
      </c>
      <c r="N36" s="334">
        <f>M36/M$38*100</f>
        <v>1.0114255246244479</v>
      </c>
      <c r="O36" s="335">
        <f t="shared" si="4"/>
        <v>10110937.025045207</v>
      </c>
    </row>
    <row r="37" spans="1:16" ht="24.75" thickBot="1">
      <c r="A37" s="43" t="s">
        <v>44</v>
      </c>
      <c r="B37" s="44" t="s">
        <v>210</v>
      </c>
      <c r="C37" s="239">
        <v>25295599.51271804</v>
      </c>
      <c r="D37" s="241">
        <v>1107886.698198827</v>
      </c>
      <c r="E37" s="241">
        <v>86.940000003150004</v>
      </c>
      <c r="F37" s="371">
        <v>0</v>
      </c>
      <c r="G37" s="201">
        <f t="shared" si="2"/>
        <v>26403573.150916871</v>
      </c>
      <c r="H37" s="200">
        <f t="shared" si="0"/>
        <v>10.69962134345319</v>
      </c>
      <c r="I37" s="339">
        <v>31856987.229999993</v>
      </c>
      <c r="J37" s="340">
        <v>2899.5</v>
      </c>
      <c r="K37" s="341">
        <v>7647.43</v>
      </c>
      <c r="L37" s="373">
        <v>0</v>
      </c>
      <c r="M37" s="333">
        <f t="shared" si="3"/>
        <v>31867534.159999993</v>
      </c>
      <c r="N37" s="334">
        <f>M37/M$38*100</f>
        <v>3.084131837982595</v>
      </c>
      <c r="O37" s="335">
        <f>M37-G37</f>
        <v>5463961.009083122</v>
      </c>
    </row>
    <row r="38" spans="1:16">
      <c r="A38" s="481" t="s">
        <v>256</v>
      </c>
      <c r="B38" s="482"/>
      <c r="C38" s="214">
        <f>SUM(C7:C37)</f>
        <v>192390884.31630149</v>
      </c>
      <c r="D38" s="215">
        <f>SUM(D7:D37)</f>
        <v>49101121.782242149</v>
      </c>
      <c r="E38" s="215">
        <f>SUM(E7:E37)</f>
        <v>67110.369897531331</v>
      </c>
      <c r="F38" s="215">
        <f>SUM(F7:F37)</f>
        <v>5211982.2777074808</v>
      </c>
      <c r="G38" s="330">
        <f>IF(SUM(G7:G37)=SUM(C38:F38),SUM(C38:F38),"FAUX")</f>
        <v>246771098.74614868</v>
      </c>
      <c r="H38" s="242">
        <f t="shared" si="0"/>
        <v>100</v>
      </c>
      <c r="I38" s="216">
        <f>SUM(I7:I37)</f>
        <v>970226707.84600008</v>
      </c>
      <c r="J38" s="217">
        <f>SUM(J7:J37)</f>
        <v>50938575.068999998</v>
      </c>
      <c r="K38" s="217">
        <f>SUM(K7:K37)</f>
        <v>8200.43</v>
      </c>
      <c r="L38" s="374">
        <f>SUM(L7:L37)</f>
        <v>12100573.475</v>
      </c>
      <c r="M38" s="375">
        <f>IF(SUM(M7:M37)=SUM(I38:L38),SUM(I38:L38),"FAUX")</f>
        <v>1033274056.8200001</v>
      </c>
      <c r="N38" s="242">
        <f>M38/M$38*100</f>
        <v>100</v>
      </c>
      <c r="O38" s="342">
        <f>M38-G38</f>
        <v>786502958.07385135</v>
      </c>
      <c r="P38" s="246"/>
    </row>
    <row r="39" spans="1:16">
      <c r="A39" s="468" t="s">
        <v>224</v>
      </c>
      <c r="B39" s="469"/>
      <c r="C39" s="139">
        <v>261728826.43000007</v>
      </c>
      <c r="D39" s="140">
        <v>84035369.760000005</v>
      </c>
      <c r="E39" s="140">
        <v>59790.03</v>
      </c>
      <c r="F39" s="379" t="s">
        <v>103</v>
      </c>
      <c r="G39" s="141">
        <f>C39+D39+E39</f>
        <v>345823986.22000003</v>
      </c>
      <c r="H39" s="84"/>
      <c r="I39" s="343">
        <v>736724328.24099994</v>
      </c>
      <c r="J39" s="344">
        <v>6350218.4240000043</v>
      </c>
      <c r="K39" s="344">
        <v>6217.32</v>
      </c>
      <c r="L39" s="378" t="s">
        <v>103</v>
      </c>
      <c r="M39" s="376">
        <f>SUM(I39:L39)</f>
        <v>743080763.98500001</v>
      </c>
      <c r="N39" s="345"/>
      <c r="O39" s="346">
        <f>M39-G39</f>
        <v>397256777.76499999</v>
      </c>
    </row>
    <row r="40" spans="1:16" ht="13.5" thickBot="1">
      <c r="A40" s="470" t="s">
        <v>102</v>
      </c>
      <c r="B40" s="471"/>
      <c r="C40" s="81">
        <f>IFERROR((C38-C39)/C39*100,"-")</f>
        <v>-26.492283276348683</v>
      </c>
      <c r="D40" s="82">
        <f>IFERROR((D38-D39)/D39*100,"-")</f>
        <v>-41.570886256022888</v>
      </c>
      <c r="E40" s="82">
        <f>IFERROR((E38-E39)/E39*100,"-")</f>
        <v>12.243412317289911</v>
      </c>
      <c r="F40" s="83"/>
      <c r="G40" s="83">
        <f>IFERROR((G38-G39)/G39*100,"-")</f>
        <v>-28.642572933283372</v>
      </c>
      <c r="H40" s="126"/>
      <c r="I40" s="347">
        <f>IFERROR((I38-I39)/I39*100,"-")</f>
        <v>31.694674745234693</v>
      </c>
      <c r="J40" s="348">
        <f>IFERROR((J38-J39)/J39*100,"-")</f>
        <v>702.15469245093743</v>
      </c>
      <c r="K40" s="348">
        <f>IFERROR((K38-K39)/K39*100,"-")</f>
        <v>31.896540631654808</v>
      </c>
      <c r="L40" s="349"/>
      <c r="M40" s="377">
        <f>IFERROR((M38-M39)/M39*100,"-")</f>
        <v>39.052725746626635</v>
      </c>
      <c r="N40" s="350"/>
      <c r="O40" s="351">
        <f>IFERROR((O38-O39)/O39*100,"-")</f>
        <v>97.983521514417731</v>
      </c>
    </row>
    <row r="44" spans="1:16">
      <c r="O44" s="155"/>
    </row>
    <row r="45" spans="1:16">
      <c r="O45" s="246"/>
    </row>
    <row r="46" spans="1:16">
      <c r="O46" s="246"/>
    </row>
    <row r="47" spans="1:16">
      <c r="P47" s="246"/>
    </row>
    <row r="64" spans="10:10">
      <c r="J64" s="14"/>
    </row>
    <row r="65" spans="10:14">
      <c r="J65" s="14"/>
    </row>
    <row r="66" spans="10:14">
      <c r="N66" s="14"/>
    </row>
  </sheetData>
  <mergeCells count="20">
    <mergeCell ref="N2:O2"/>
    <mergeCell ref="A38:B38"/>
    <mergeCell ref="C5:D5"/>
    <mergeCell ref="I5:J5"/>
    <mergeCell ref="H5:H6"/>
    <mergeCell ref="N5:N6"/>
    <mergeCell ref="A3:R3"/>
    <mergeCell ref="K5:K6"/>
    <mergeCell ref="F5:F6"/>
    <mergeCell ref="L5:L6"/>
    <mergeCell ref="A39:B39"/>
    <mergeCell ref="A40:B40"/>
    <mergeCell ref="O4:O6"/>
    <mergeCell ref="B4:B6"/>
    <mergeCell ref="A4:A6"/>
    <mergeCell ref="G5:G6"/>
    <mergeCell ref="M5:M6"/>
    <mergeCell ref="C4:H4"/>
    <mergeCell ref="I4:N4"/>
    <mergeCell ref="E5:E6"/>
  </mergeCells>
  <phoneticPr fontId="9" type="noConversion"/>
  <conditionalFormatting sqref="O7:O37">
    <cfRule type="cellIs" dxfId="18" priority="1" stopIfTrue="1" operator="greaterThan">
      <formula>0.1</formula>
    </cfRule>
    <cfRule type="cellIs" dxfId="17" priority="2" stopIfTrue="1" operator="lessThan">
      <formula>-0.1</formula>
    </cfRule>
  </conditionalFormatting>
  <hyperlinks>
    <hyperlink ref="Q4" location="Accueil!A1" display="Retour à l'accueil"/>
  </hyperlinks>
  <pageMargins left="0.18" right="0.2" top="0.17" bottom="0.19" header="0.17" footer="0.18"/>
  <pageSetup paperSize="9" orientation="landscape" r:id="rId1"/>
  <headerFooter alignWithMargins="0"/>
  <ignoredErrors>
    <ignoredError sqref="M3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tabColor rgb="FF92D050"/>
  </sheetPr>
  <dimension ref="A1:O58"/>
  <sheetViews>
    <sheetView showGridLines="0" topLeftCell="A28" workbookViewId="0">
      <selection activeCell="L13" sqref="L13"/>
    </sheetView>
  </sheetViews>
  <sheetFormatPr baseColWidth="10" defaultRowHeight="12.75"/>
  <cols>
    <col min="9" max="9" width="34.5703125" customWidth="1"/>
  </cols>
  <sheetData>
    <row r="1" spans="1:15" ht="20.25">
      <c r="A1" s="24" t="s">
        <v>245</v>
      </c>
    </row>
    <row r="3" spans="1:15">
      <c r="A3" s="192" t="s">
        <v>235</v>
      </c>
    </row>
    <row r="4" spans="1:15">
      <c r="A4" t="s">
        <v>236</v>
      </c>
    </row>
    <row r="6" spans="1:15" ht="33.75" customHeight="1" thickBot="1">
      <c r="A6" s="192" t="s">
        <v>223</v>
      </c>
      <c r="O6" s="269" t="s">
        <v>197</v>
      </c>
    </row>
    <row r="7" spans="1:15" ht="13.5" thickTop="1">
      <c r="A7" t="s">
        <v>221</v>
      </c>
    </row>
    <row r="8" spans="1:15">
      <c r="E8" t="s">
        <v>172</v>
      </c>
    </row>
    <row r="10" spans="1:15">
      <c r="A10" t="s">
        <v>237</v>
      </c>
    </row>
    <row r="11" spans="1:15">
      <c r="A11" t="s">
        <v>238</v>
      </c>
    </row>
    <row r="12" spans="1:15">
      <c r="A12" t="s">
        <v>239</v>
      </c>
    </row>
    <row r="13" spans="1:15">
      <c r="A13" t="s">
        <v>242</v>
      </c>
    </row>
    <row r="15" spans="1:15" ht="14.25" customHeight="1">
      <c r="A15" s="192" t="s">
        <v>261</v>
      </c>
    </row>
    <row r="16" spans="1:15" ht="14.25" customHeight="1"/>
    <row r="18" spans="1:9">
      <c r="A18" s="193" t="s">
        <v>260</v>
      </c>
    </row>
    <row r="19" spans="1:9" ht="13.5" thickBot="1"/>
    <row r="20" spans="1:9" ht="13.5" thickBot="1">
      <c r="A20" s="156"/>
      <c r="B20" s="484" t="s">
        <v>114</v>
      </c>
      <c r="C20" s="485"/>
      <c r="D20" s="485"/>
      <c r="E20" s="485"/>
      <c r="F20" s="485"/>
      <c r="G20" s="486"/>
      <c r="H20" s="157"/>
      <c r="I20" s="158"/>
    </row>
    <row r="21" spans="1:9" ht="21.75" thickBot="1">
      <c r="A21" s="159" t="s">
        <v>0</v>
      </c>
      <c r="B21" s="160" t="s">
        <v>201</v>
      </c>
      <c r="C21" s="161" t="s">
        <v>115</v>
      </c>
      <c r="D21" s="160" t="s">
        <v>116</v>
      </c>
      <c r="E21" s="161" t="s">
        <v>202</v>
      </c>
      <c r="F21" s="162" t="s">
        <v>117</v>
      </c>
      <c r="G21" s="163" t="s">
        <v>203</v>
      </c>
      <c r="H21" s="164" t="s">
        <v>188</v>
      </c>
      <c r="I21" s="159" t="s">
        <v>118</v>
      </c>
    </row>
    <row r="22" spans="1:9" ht="45" customHeight="1">
      <c r="A22" s="165" t="s">
        <v>119</v>
      </c>
      <c r="B22" s="166" t="s">
        <v>120</v>
      </c>
      <c r="C22" s="167" t="s">
        <v>120</v>
      </c>
      <c r="D22" s="166" t="s">
        <v>120</v>
      </c>
      <c r="E22" s="167" t="s">
        <v>120</v>
      </c>
      <c r="F22" s="168" t="s">
        <v>120</v>
      </c>
      <c r="G22" s="166" t="s">
        <v>121</v>
      </c>
      <c r="H22" s="169" t="s">
        <v>122</v>
      </c>
      <c r="I22" s="170" t="s">
        <v>123</v>
      </c>
    </row>
    <row r="23" spans="1:9">
      <c r="A23" s="171" t="s">
        <v>73</v>
      </c>
      <c r="B23" s="172" t="s">
        <v>124</v>
      </c>
      <c r="C23" s="173" t="s">
        <v>124</v>
      </c>
      <c r="D23" s="172" t="s">
        <v>124</v>
      </c>
      <c r="E23" s="173" t="s">
        <v>124</v>
      </c>
      <c r="F23" s="174" t="s">
        <v>124</v>
      </c>
      <c r="G23" s="172" t="s">
        <v>124</v>
      </c>
      <c r="H23" s="175" t="s">
        <v>103</v>
      </c>
      <c r="I23" s="171"/>
    </row>
    <row r="24" spans="1:9" ht="40.5" customHeight="1">
      <c r="A24" s="165" t="s">
        <v>125</v>
      </c>
      <c r="B24" s="176" t="s">
        <v>103</v>
      </c>
      <c r="C24" s="177" t="s">
        <v>103</v>
      </c>
      <c r="D24" s="176" t="s">
        <v>121</v>
      </c>
      <c r="E24" s="177" t="s">
        <v>103</v>
      </c>
      <c r="F24" s="178" t="s">
        <v>124</v>
      </c>
      <c r="G24" s="176" t="s">
        <v>103</v>
      </c>
      <c r="H24" s="169" t="s">
        <v>122</v>
      </c>
      <c r="I24" s="170" t="s">
        <v>126</v>
      </c>
    </row>
    <row r="25" spans="1:9" ht="22.5">
      <c r="A25" s="171" t="s">
        <v>247</v>
      </c>
      <c r="B25" s="179" t="s">
        <v>120</v>
      </c>
      <c r="C25" s="173" t="s">
        <v>124</v>
      </c>
      <c r="D25" s="173" t="s">
        <v>124</v>
      </c>
      <c r="E25" s="173" t="s">
        <v>120</v>
      </c>
      <c r="F25" s="173" t="s">
        <v>124</v>
      </c>
      <c r="G25" s="180" t="s">
        <v>124</v>
      </c>
      <c r="H25" s="181" t="s">
        <v>127</v>
      </c>
      <c r="I25" s="171"/>
    </row>
    <row r="26" spans="1:9">
      <c r="A26" s="171" t="s">
        <v>128</v>
      </c>
      <c r="B26" s="172" t="s">
        <v>103</v>
      </c>
      <c r="C26" s="173" t="s">
        <v>103</v>
      </c>
      <c r="D26" s="172" t="s">
        <v>103</v>
      </c>
      <c r="E26" s="173" t="s">
        <v>103</v>
      </c>
      <c r="F26" s="174" t="s">
        <v>124</v>
      </c>
      <c r="G26" s="172" t="s">
        <v>129</v>
      </c>
      <c r="H26" s="175" t="s">
        <v>130</v>
      </c>
      <c r="I26" s="171" t="s">
        <v>131</v>
      </c>
    </row>
    <row r="27" spans="1:9">
      <c r="A27" s="171" t="s">
        <v>132</v>
      </c>
      <c r="B27" s="172" t="s">
        <v>120</v>
      </c>
      <c r="C27" s="173" t="s">
        <v>120</v>
      </c>
      <c r="D27" s="172" t="s">
        <v>120</v>
      </c>
      <c r="E27" s="173" t="s">
        <v>103</v>
      </c>
      <c r="F27" s="174" t="s">
        <v>120</v>
      </c>
      <c r="G27" s="172" t="s">
        <v>124</v>
      </c>
      <c r="H27" s="175" t="s">
        <v>122</v>
      </c>
      <c r="I27" s="171"/>
    </row>
    <row r="28" spans="1:9" ht="33" customHeight="1">
      <c r="A28" s="171" t="s">
        <v>133</v>
      </c>
      <c r="B28" s="172" t="s">
        <v>103</v>
      </c>
      <c r="C28" s="173" t="s">
        <v>103</v>
      </c>
      <c r="D28" s="172" t="s">
        <v>134</v>
      </c>
      <c r="E28" s="173" t="s">
        <v>103</v>
      </c>
      <c r="F28" s="174" t="s">
        <v>135</v>
      </c>
      <c r="G28" s="172" t="s">
        <v>103</v>
      </c>
      <c r="H28" s="175" t="s">
        <v>122</v>
      </c>
      <c r="I28" s="182" t="s">
        <v>136</v>
      </c>
    </row>
    <row r="29" spans="1:9" ht="44.25" customHeight="1">
      <c r="A29" s="171" t="s">
        <v>137</v>
      </c>
      <c r="B29" s="172" t="s">
        <v>103</v>
      </c>
      <c r="C29" s="173" t="s">
        <v>103</v>
      </c>
      <c r="D29" s="172" t="s">
        <v>121</v>
      </c>
      <c r="E29" s="173" t="s">
        <v>103</v>
      </c>
      <c r="F29" s="174" t="s">
        <v>124</v>
      </c>
      <c r="G29" s="172" t="s">
        <v>103</v>
      </c>
      <c r="H29" s="175" t="s">
        <v>122</v>
      </c>
      <c r="I29" s="182" t="s">
        <v>138</v>
      </c>
    </row>
    <row r="30" spans="1:9" ht="25.5" customHeight="1">
      <c r="A30" s="171" t="s">
        <v>139</v>
      </c>
      <c r="B30" s="172" t="s">
        <v>120</v>
      </c>
      <c r="C30" s="173" t="s">
        <v>140</v>
      </c>
      <c r="D30" s="172" t="s">
        <v>120</v>
      </c>
      <c r="E30" s="173" t="s">
        <v>103</v>
      </c>
      <c r="F30" s="174" t="s">
        <v>120</v>
      </c>
      <c r="G30" s="172" t="s">
        <v>124</v>
      </c>
      <c r="H30" s="175" t="s">
        <v>122</v>
      </c>
      <c r="I30" s="182" t="s">
        <v>141</v>
      </c>
    </row>
    <row r="31" spans="1:9">
      <c r="A31" s="171" t="s">
        <v>142</v>
      </c>
      <c r="B31" s="172" t="s">
        <v>103</v>
      </c>
      <c r="C31" s="173" t="s">
        <v>103</v>
      </c>
      <c r="D31" s="172" t="s">
        <v>103</v>
      </c>
      <c r="E31" s="173" t="s">
        <v>103</v>
      </c>
      <c r="F31" s="174" t="s">
        <v>124</v>
      </c>
      <c r="G31" s="172" t="s">
        <v>103</v>
      </c>
      <c r="H31" s="175" t="s">
        <v>122</v>
      </c>
      <c r="I31" s="171"/>
    </row>
    <row r="32" spans="1:9" ht="26.25" customHeight="1">
      <c r="A32" s="171" t="s">
        <v>143</v>
      </c>
      <c r="B32" s="172" t="s">
        <v>120</v>
      </c>
      <c r="C32" s="173" t="s">
        <v>121</v>
      </c>
      <c r="D32" s="172" t="s">
        <v>121</v>
      </c>
      <c r="E32" s="173" t="s">
        <v>103</v>
      </c>
      <c r="F32" s="174" t="s">
        <v>103</v>
      </c>
      <c r="G32" s="172" t="s">
        <v>144</v>
      </c>
      <c r="H32" s="175" t="s">
        <v>103</v>
      </c>
      <c r="I32" s="182" t="s">
        <v>145</v>
      </c>
    </row>
    <row r="33" spans="1:9" ht="26.25" customHeight="1">
      <c r="A33" s="171" t="s">
        <v>222</v>
      </c>
      <c r="B33" s="172" t="s">
        <v>120</v>
      </c>
      <c r="C33" s="173" t="s">
        <v>124</v>
      </c>
      <c r="D33" s="172" t="s">
        <v>124</v>
      </c>
      <c r="E33" s="173" t="s">
        <v>120</v>
      </c>
      <c r="F33" s="174" t="s">
        <v>124</v>
      </c>
      <c r="G33" s="172" t="s">
        <v>124</v>
      </c>
      <c r="H33" s="175" t="s">
        <v>127</v>
      </c>
      <c r="I33" s="182"/>
    </row>
    <row r="34" spans="1:9">
      <c r="A34" s="171" t="s">
        <v>146</v>
      </c>
      <c r="B34" s="172" t="s">
        <v>120</v>
      </c>
      <c r="C34" s="173" t="s">
        <v>124</v>
      </c>
      <c r="D34" s="172" t="s">
        <v>124</v>
      </c>
      <c r="E34" s="173" t="s">
        <v>120</v>
      </c>
      <c r="F34" s="174" t="s">
        <v>124</v>
      </c>
      <c r="G34" s="172" t="s">
        <v>124</v>
      </c>
      <c r="H34" s="175" t="s">
        <v>127</v>
      </c>
      <c r="I34" s="171"/>
    </row>
    <row r="35" spans="1:9">
      <c r="A35" s="171" t="s">
        <v>147</v>
      </c>
      <c r="B35" s="172" t="s">
        <v>103</v>
      </c>
      <c r="C35" s="173" t="s">
        <v>103</v>
      </c>
      <c r="D35" s="172" t="s">
        <v>124</v>
      </c>
      <c r="E35" s="173" t="s">
        <v>103</v>
      </c>
      <c r="F35" s="174"/>
      <c r="G35" s="172" t="s">
        <v>103</v>
      </c>
      <c r="H35" s="175" t="s">
        <v>122</v>
      </c>
      <c r="I35" s="171"/>
    </row>
    <row r="36" spans="1:9">
      <c r="A36" s="171" t="s">
        <v>106</v>
      </c>
      <c r="B36" s="172" t="s">
        <v>120</v>
      </c>
      <c r="C36" s="173" t="s">
        <v>124</v>
      </c>
      <c r="D36" s="172" t="s">
        <v>124</v>
      </c>
      <c r="E36" s="173" t="s">
        <v>103</v>
      </c>
      <c r="F36" s="174" t="s">
        <v>120</v>
      </c>
      <c r="G36" s="172" t="s">
        <v>124</v>
      </c>
      <c r="H36" s="175" t="s">
        <v>122</v>
      </c>
      <c r="I36" s="171"/>
    </row>
    <row r="37" spans="1:9">
      <c r="A37" s="171" t="s">
        <v>75</v>
      </c>
      <c r="B37" s="172" t="s">
        <v>124</v>
      </c>
      <c r="C37" s="173" t="s">
        <v>124</v>
      </c>
      <c r="D37" s="172" t="s">
        <v>124</v>
      </c>
      <c r="E37" s="173" t="s">
        <v>103</v>
      </c>
      <c r="F37" s="174" t="s">
        <v>124</v>
      </c>
      <c r="G37" s="172" t="s">
        <v>103</v>
      </c>
      <c r="H37" s="175" t="s">
        <v>124</v>
      </c>
      <c r="I37" s="171"/>
    </row>
    <row r="38" spans="1:9">
      <c r="A38" s="171" t="s">
        <v>91</v>
      </c>
      <c r="B38" s="172" t="s">
        <v>103</v>
      </c>
      <c r="C38" s="173" t="s">
        <v>103</v>
      </c>
      <c r="D38" s="172" t="s">
        <v>124</v>
      </c>
      <c r="E38" s="173" t="s">
        <v>103</v>
      </c>
      <c r="F38" s="174" t="s">
        <v>120</v>
      </c>
      <c r="G38" s="172" t="s">
        <v>103</v>
      </c>
      <c r="H38" s="175" t="s">
        <v>149</v>
      </c>
      <c r="I38" s="171"/>
    </row>
    <row r="39" spans="1:9">
      <c r="A39" s="171" t="s">
        <v>150</v>
      </c>
      <c r="B39" s="172" t="s">
        <v>103</v>
      </c>
      <c r="C39" s="173" t="s">
        <v>103</v>
      </c>
      <c r="D39" s="172" t="s">
        <v>103</v>
      </c>
      <c r="E39" s="173" t="s">
        <v>144</v>
      </c>
      <c r="F39" s="174" t="s">
        <v>103</v>
      </c>
      <c r="G39" s="172" t="s">
        <v>103</v>
      </c>
      <c r="H39" s="175" t="s">
        <v>103</v>
      </c>
      <c r="I39" s="171"/>
    </row>
    <row r="40" spans="1:9">
      <c r="A40" s="171" t="s">
        <v>151</v>
      </c>
      <c r="B40" s="172" t="s">
        <v>120</v>
      </c>
      <c r="C40" s="173" t="s">
        <v>124</v>
      </c>
      <c r="D40" s="172" t="s">
        <v>124</v>
      </c>
      <c r="E40" s="173" t="s">
        <v>120</v>
      </c>
      <c r="F40" s="174" t="s">
        <v>124</v>
      </c>
      <c r="G40" s="172" t="s">
        <v>124</v>
      </c>
      <c r="H40" s="175" t="s">
        <v>127</v>
      </c>
      <c r="I40" s="171"/>
    </row>
    <row r="41" spans="1:9">
      <c r="A41" s="171" t="s">
        <v>152</v>
      </c>
      <c r="B41" s="172" t="s">
        <v>103</v>
      </c>
      <c r="C41" s="173" t="s">
        <v>124</v>
      </c>
      <c r="D41" s="172" t="s">
        <v>124</v>
      </c>
      <c r="E41" s="173" t="s">
        <v>103</v>
      </c>
      <c r="F41" s="174" t="s">
        <v>124</v>
      </c>
      <c r="G41" s="172" t="s">
        <v>103</v>
      </c>
      <c r="H41" s="175" t="s">
        <v>130</v>
      </c>
      <c r="I41" s="171"/>
    </row>
    <row r="42" spans="1:9" ht="22.5">
      <c r="A42" s="171" t="s">
        <v>248</v>
      </c>
      <c r="B42" s="179" t="s">
        <v>124</v>
      </c>
      <c r="C42" s="173" t="s">
        <v>124</v>
      </c>
      <c r="D42" s="173" t="s">
        <v>124</v>
      </c>
      <c r="E42" s="173" t="s">
        <v>124</v>
      </c>
      <c r="F42" s="173" t="s">
        <v>124</v>
      </c>
      <c r="G42" s="180" t="s">
        <v>124</v>
      </c>
      <c r="H42" s="181" t="s">
        <v>103</v>
      </c>
      <c r="I42" s="171"/>
    </row>
    <row r="43" spans="1:9" ht="22.5">
      <c r="A43" s="171" t="s">
        <v>153</v>
      </c>
      <c r="B43" s="179" t="s">
        <v>124</v>
      </c>
      <c r="C43" s="173" t="s">
        <v>124</v>
      </c>
      <c r="D43" s="173" t="s">
        <v>124</v>
      </c>
      <c r="E43" s="173" t="s">
        <v>124</v>
      </c>
      <c r="F43" s="173" t="s">
        <v>124</v>
      </c>
      <c r="G43" s="180" t="s">
        <v>124</v>
      </c>
      <c r="H43" s="181" t="s">
        <v>103</v>
      </c>
      <c r="I43" s="171"/>
    </row>
    <row r="44" spans="1:9">
      <c r="A44" s="171" t="s">
        <v>76</v>
      </c>
      <c r="B44" s="172" t="s">
        <v>144</v>
      </c>
      <c r="C44" s="173" t="s">
        <v>124</v>
      </c>
      <c r="D44" s="172" t="s">
        <v>124</v>
      </c>
      <c r="E44" s="173" t="s">
        <v>144</v>
      </c>
      <c r="F44" s="174" t="s">
        <v>124</v>
      </c>
      <c r="G44" s="172" t="s">
        <v>124</v>
      </c>
      <c r="H44" s="175" t="s">
        <v>124</v>
      </c>
      <c r="I44" s="171"/>
    </row>
    <row r="45" spans="1:9" ht="22.5">
      <c r="A45" s="171" t="s">
        <v>249</v>
      </c>
      <c r="B45" s="172" t="s">
        <v>124</v>
      </c>
      <c r="C45" s="173" t="s">
        <v>124</v>
      </c>
      <c r="D45" s="172" t="s">
        <v>124</v>
      </c>
      <c r="E45" s="173" t="s">
        <v>124</v>
      </c>
      <c r="F45" s="174" t="s">
        <v>124</v>
      </c>
      <c r="G45" s="172" t="s">
        <v>124</v>
      </c>
      <c r="H45" s="175" t="s">
        <v>103</v>
      </c>
      <c r="I45" s="171"/>
    </row>
    <row r="46" spans="1:9" ht="25.5" customHeight="1">
      <c r="A46" s="171" t="s">
        <v>154</v>
      </c>
      <c r="B46" s="179" t="s">
        <v>103</v>
      </c>
      <c r="C46" s="173" t="s">
        <v>103</v>
      </c>
      <c r="D46" s="173" t="s">
        <v>121</v>
      </c>
      <c r="E46" s="173" t="s">
        <v>103</v>
      </c>
      <c r="F46" s="173" t="s">
        <v>124</v>
      </c>
      <c r="G46" s="180" t="s">
        <v>103</v>
      </c>
      <c r="H46" s="181" t="s">
        <v>148</v>
      </c>
      <c r="I46" s="171" t="s">
        <v>155</v>
      </c>
    </row>
    <row r="47" spans="1:9">
      <c r="A47" s="171" t="s">
        <v>156</v>
      </c>
      <c r="B47" s="172" t="s">
        <v>120</v>
      </c>
      <c r="C47" s="173" t="s">
        <v>124</v>
      </c>
      <c r="D47" s="172" t="s">
        <v>124</v>
      </c>
      <c r="E47" s="173" t="s">
        <v>120</v>
      </c>
      <c r="F47" s="174" t="s">
        <v>124</v>
      </c>
      <c r="G47" s="172" t="s">
        <v>124</v>
      </c>
      <c r="H47" s="175" t="s">
        <v>127</v>
      </c>
      <c r="I47" s="171"/>
    </row>
    <row r="48" spans="1:9" ht="36" customHeight="1">
      <c r="A48" s="171" t="s">
        <v>157</v>
      </c>
      <c r="B48" s="172" t="s">
        <v>103</v>
      </c>
      <c r="C48" s="173" t="s">
        <v>103</v>
      </c>
      <c r="D48" s="172" t="s">
        <v>121</v>
      </c>
      <c r="E48" s="173" t="s">
        <v>103</v>
      </c>
      <c r="F48" s="174" t="s">
        <v>124</v>
      </c>
      <c r="G48" s="172" t="s">
        <v>124</v>
      </c>
      <c r="H48" s="175" t="s">
        <v>158</v>
      </c>
      <c r="I48" s="182" t="s">
        <v>159</v>
      </c>
    </row>
    <row r="49" spans="1:9">
      <c r="A49" s="171" t="s">
        <v>160</v>
      </c>
      <c r="B49" s="172" t="s">
        <v>124</v>
      </c>
      <c r="C49" s="173" t="s">
        <v>124</v>
      </c>
      <c r="D49" s="172" t="s">
        <v>124</v>
      </c>
      <c r="E49" s="173" t="s">
        <v>124</v>
      </c>
      <c r="F49" s="174" t="s">
        <v>124</v>
      </c>
      <c r="G49" s="172" t="s">
        <v>124</v>
      </c>
      <c r="H49" s="175" t="s">
        <v>124</v>
      </c>
      <c r="I49" s="171"/>
    </row>
    <row r="50" spans="1:9" ht="13.5" thickBot="1">
      <c r="A50" s="183" t="s">
        <v>77</v>
      </c>
      <c r="B50" s="184" t="s">
        <v>120</v>
      </c>
      <c r="C50" s="185" t="s">
        <v>162</v>
      </c>
      <c r="D50" s="184" t="s">
        <v>162</v>
      </c>
      <c r="E50" s="185" t="s">
        <v>120</v>
      </c>
      <c r="F50" s="186" t="s">
        <v>163</v>
      </c>
      <c r="G50" s="184" t="s">
        <v>124</v>
      </c>
      <c r="H50" s="187" t="s">
        <v>161</v>
      </c>
      <c r="I50" s="183"/>
    </row>
    <row r="51" spans="1:9" ht="21.75">
      <c r="B51" s="188" t="s">
        <v>164</v>
      </c>
      <c r="I51" s="253"/>
    </row>
    <row r="52" spans="1:9" ht="15.75">
      <c r="A52" s="189">
        <v>1</v>
      </c>
      <c r="B52" s="190" t="s">
        <v>165</v>
      </c>
    </row>
    <row r="53" spans="1:9" ht="15.75">
      <c r="A53" s="189">
        <v>2</v>
      </c>
      <c r="B53" s="190" t="s">
        <v>166</v>
      </c>
    </row>
    <row r="54" spans="1:9" ht="15.75">
      <c r="A54" s="189">
        <v>3</v>
      </c>
      <c r="B54" s="190" t="s">
        <v>167</v>
      </c>
    </row>
    <row r="55" spans="1:9" ht="15.75">
      <c r="A55" s="189">
        <v>4</v>
      </c>
      <c r="B55" s="190" t="s">
        <v>168</v>
      </c>
    </row>
    <row r="56" spans="1:9" ht="15.75">
      <c r="A56" s="189">
        <v>5</v>
      </c>
      <c r="B56" s="190" t="s">
        <v>169</v>
      </c>
    </row>
    <row r="57" spans="1:9">
      <c r="A57" s="191" t="s">
        <v>144</v>
      </c>
      <c r="B57" s="190" t="s">
        <v>170</v>
      </c>
    </row>
    <row r="58" spans="1:9">
      <c r="A58" s="191" t="s">
        <v>191</v>
      </c>
      <c r="B58" s="190" t="s">
        <v>171</v>
      </c>
    </row>
  </sheetData>
  <mergeCells count="1">
    <mergeCell ref="B20:G20"/>
  </mergeCells>
  <conditionalFormatting sqref="A22:I50 I51">
    <cfRule type="expression" dxfId="16" priority="2">
      <formula>MOD(ROW(),2)</formula>
    </cfRule>
  </conditionalFormatting>
  <hyperlinks>
    <hyperlink ref="O6" location="Accueil!A1" display="Retour à l'accueil"/>
  </hyperlinks>
  <pageMargins left="0.22" right="0.19" top="0.25" bottom="0.22" header="0.17" footer="0.1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tabColor rgb="FF92D050"/>
  </sheetPr>
  <dimension ref="A1:U43"/>
  <sheetViews>
    <sheetView showGridLines="0" zoomScaleNormal="100" workbookViewId="0">
      <selection activeCell="U25" sqref="U25"/>
    </sheetView>
  </sheetViews>
  <sheetFormatPr baseColWidth="10" defaultRowHeight="12.75"/>
  <cols>
    <col min="1" max="1" width="6.28515625" style="25" customWidth="1"/>
    <col min="2" max="2" width="10.28515625" style="25" customWidth="1"/>
    <col min="3" max="3" width="5.7109375" style="25" customWidth="1"/>
    <col min="4" max="4" width="9.7109375" style="25" customWidth="1"/>
    <col min="5" max="5" width="4.140625" style="25" customWidth="1"/>
    <col min="6" max="6" width="7.5703125" style="25" customWidth="1"/>
    <col min="7" max="7" width="8.7109375" style="25" customWidth="1"/>
    <col min="8" max="8" width="11.140625" style="25" customWidth="1"/>
    <col min="9" max="9" width="6.7109375" style="25" customWidth="1"/>
    <col min="10" max="10" width="9" style="25" customWidth="1"/>
    <col min="11" max="11" width="4.42578125" style="25" customWidth="1"/>
    <col min="12" max="12" width="10.140625" style="25" customWidth="1"/>
    <col min="13" max="13" width="4.140625" style="25" customWidth="1"/>
    <col min="14" max="15" width="7.85546875" style="25" customWidth="1"/>
    <col min="16" max="16" width="10.5703125" style="25" customWidth="1"/>
    <col min="17" max="17" width="8.85546875" style="25" customWidth="1"/>
    <col min="18" max="18" width="10.28515625" style="25" customWidth="1"/>
    <col min="19" max="16384" width="11.42578125" style="25"/>
  </cols>
  <sheetData>
    <row r="1" spans="1:21" ht="20.25">
      <c r="A1" s="24" t="s">
        <v>245</v>
      </c>
    </row>
    <row r="2" spans="1:21">
      <c r="Q2" s="416"/>
      <c r="R2" s="416"/>
    </row>
    <row r="4" spans="1:21" ht="14.25">
      <c r="A4" s="483" t="s">
        <v>234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</row>
    <row r="5" spans="1:21" ht="26.25" customHeight="1">
      <c r="A5" s="438" t="s">
        <v>49</v>
      </c>
      <c r="B5" s="441" t="s">
        <v>240</v>
      </c>
      <c r="C5" s="442"/>
      <c r="D5" s="442"/>
      <c r="E5" s="442"/>
      <c r="F5" s="442"/>
      <c r="G5" s="442"/>
      <c r="H5" s="442"/>
      <c r="I5" s="443"/>
      <c r="J5" s="444" t="s">
        <v>241</v>
      </c>
      <c r="K5" s="445"/>
      <c r="L5" s="445"/>
      <c r="M5" s="445"/>
      <c r="N5" s="445"/>
      <c r="O5" s="445"/>
      <c r="P5" s="445"/>
      <c r="Q5" s="446"/>
    </row>
    <row r="6" spans="1:21" ht="12.75" customHeight="1">
      <c r="A6" s="439"/>
      <c r="B6" s="447" t="s">
        <v>1</v>
      </c>
      <c r="C6" s="448"/>
      <c r="D6" s="449"/>
      <c r="E6" s="450"/>
      <c r="F6" s="452" t="s">
        <v>72</v>
      </c>
      <c r="G6" s="452" t="s">
        <v>259</v>
      </c>
      <c r="H6" s="432" t="s">
        <v>63</v>
      </c>
      <c r="I6" s="453" t="s">
        <v>101</v>
      </c>
      <c r="J6" s="447" t="s">
        <v>1</v>
      </c>
      <c r="K6" s="448"/>
      <c r="L6" s="449"/>
      <c r="M6" s="450"/>
      <c r="N6" s="452" t="s">
        <v>72</v>
      </c>
      <c r="O6" s="452" t="s">
        <v>259</v>
      </c>
      <c r="P6" s="432" t="s">
        <v>63</v>
      </c>
      <c r="Q6" s="453" t="s">
        <v>101</v>
      </c>
    </row>
    <row r="7" spans="1:21" ht="12.75" customHeight="1">
      <c r="A7" s="439"/>
      <c r="B7" s="451"/>
      <c r="C7" s="449"/>
      <c r="D7" s="449"/>
      <c r="E7" s="450"/>
      <c r="F7" s="436"/>
      <c r="G7" s="436"/>
      <c r="H7" s="433"/>
      <c r="I7" s="454"/>
      <c r="J7" s="451"/>
      <c r="K7" s="449"/>
      <c r="L7" s="449"/>
      <c r="M7" s="450"/>
      <c r="N7" s="436"/>
      <c r="O7" s="436"/>
      <c r="P7" s="433"/>
      <c r="Q7" s="454"/>
    </row>
    <row r="8" spans="1:21" ht="38.25" customHeight="1" thickBot="1">
      <c r="A8" s="439"/>
      <c r="B8" s="487"/>
      <c r="C8" s="488"/>
      <c r="D8" s="488"/>
      <c r="E8" s="489"/>
      <c r="F8" s="436"/>
      <c r="G8" s="436"/>
      <c r="H8" s="433"/>
      <c r="I8" s="454"/>
      <c r="J8" s="487"/>
      <c r="K8" s="488"/>
      <c r="L8" s="488"/>
      <c r="M8" s="489"/>
      <c r="N8" s="436"/>
      <c r="O8" s="436"/>
      <c r="P8" s="433"/>
      <c r="Q8" s="454"/>
      <c r="U8" s="269" t="s">
        <v>197</v>
      </c>
    </row>
    <row r="9" spans="1:21" ht="13.5" thickTop="1">
      <c r="A9" s="440"/>
      <c r="B9" s="142" t="s">
        <v>3</v>
      </c>
      <c r="C9" s="142" t="s">
        <v>94</v>
      </c>
      <c r="D9" s="142" t="s">
        <v>4</v>
      </c>
      <c r="E9" s="142" t="s">
        <v>94</v>
      </c>
      <c r="F9" s="437"/>
      <c r="G9" s="437"/>
      <c r="H9" s="434"/>
      <c r="I9" s="455"/>
      <c r="J9" s="142" t="s">
        <v>3</v>
      </c>
      <c r="K9" s="142" t="s">
        <v>94</v>
      </c>
      <c r="L9" s="142" t="s">
        <v>4</v>
      </c>
      <c r="M9" s="142" t="s">
        <v>94</v>
      </c>
      <c r="N9" s="437"/>
      <c r="O9" s="437"/>
      <c r="P9" s="434"/>
      <c r="Q9" s="455"/>
    </row>
    <row r="10" spans="1:21">
      <c r="A10" s="54" t="s">
        <v>58</v>
      </c>
      <c r="B10" s="132">
        <v>37667190.560000002</v>
      </c>
      <c r="C10" s="61">
        <f t="shared" ref="C10:C18" si="0">B10/H10*100</f>
        <v>52.685626525219106</v>
      </c>
      <c r="D10" s="133">
        <v>33823038.380000003</v>
      </c>
      <c r="E10" s="61">
        <f t="shared" ref="E10:E18" si="1">D10/H10*100</f>
        <v>47.308757078612132</v>
      </c>
      <c r="F10" s="133">
        <v>4015.4</v>
      </c>
      <c r="G10" s="398" t="s">
        <v>103</v>
      </c>
      <c r="H10" s="135">
        <f>SUM(B10,D10,F10,G10)</f>
        <v>71494244.340000004</v>
      </c>
      <c r="I10" s="85"/>
      <c r="J10" s="133">
        <v>2507908.4900000002</v>
      </c>
      <c r="K10" s="61">
        <f t="shared" ref="K10:K18" si="2">J10/P10*100</f>
        <v>18.96310793639055</v>
      </c>
      <c r="L10" s="133">
        <v>10717289.08</v>
      </c>
      <c r="M10" s="61">
        <f t="shared" ref="M10:M16" si="3">L10/P10*100</f>
        <v>81.036892063609443</v>
      </c>
      <c r="N10" s="133">
        <v>0</v>
      </c>
      <c r="O10" s="398" t="s">
        <v>103</v>
      </c>
      <c r="P10" s="135">
        <f>SUM(J10,L10,N10,O10)</f>
        <v>13225197.57</v>
      </c>
      <c r="Q10" s="85"/>
      <c r="R10" s="67"/>
      <c r="S10" s="67"/>
    </row>
    <row r="11" spans="1:21">
      <c r="A11" s="54" t="s">
        <v>80</v>
      </c>
      <c r="B11" s="132">
        <v>57007853.899999999</v>
      </c>
      <c r="C11" s="61">
        <f t="shared" si="0"/>
        <v>52.232762814296827</v>
      </c>
      <c r="D11" s="133">
        <v>52134092.32</v>
      </c>
      <c r="E11" s="61">
        <f t="shared" si="1"/>
        <v>47.767237185703173</v>
      </c>
      <c r="F11" s="133">
        <v>0</v>
      </c>
      <c r="G11" s="398" t="s">
        <v>103</v>
      </c>
      <c r="H11" s="135">
        <f>SUM(B11,D11,F11,G11)</f>
        <v>109141946.22</v>
      </c>
      <c r="I11" s="85">
        <f>(H11-H10)/H10*100</f>
        <v>52.658367435791817</v>
      </c>
      <c r="J11" s="133">
        <v>8161079.0999999996</v>
      </c>
      <c r="K11" s="61">
        <f t="shared" si="2"/>
        <v>30.25989760576299</v>
      </c>
      <c r="L11" s="133">
        <v>18808870.390000001</v>
      </c>
      <c r="M11" s="61">
        <f t="shared" si="3"/>
        <v>69.740102394236999</v>
      </c>
      <c r="N11" s="133">
        <v>0</v>
      </c>
      <c r="O11" s="398" t="s">
        <v>103</v>
      </c>
      <c r="P11" s="135">
        <f t="shared" ref="P11:P19" si="4">SUM(J11,L11,N11,O11)</f>
        <v>26969949.490000002</v>
      </c>
      <c r="Q11" s="85">
        <f>(P11-P10)/P10*100</f>
        <v>103.9285186270378</v>
      </c>
      <c r="R11" s="67"/>
      <c r="S11" s="67"/>
    </row>
    <row r="12" spans="1:21">
      <c r="A12" s="54" t="s">
        <v>108</v>
      </c>
      <c r="B12" s="132">
        <v>52182324.979999997</v>
      </c>
      <c r="C12" s="61">
        <f t="shared" si="0"/>
        <v>60.419524110199632</v>
      </c>
      <c r="D12" s="133">
        <v>34181387.710000001</v>
      </c>
      <c r="E12" s="61">
        <f t="shared" si="1"/>
        <v>39.577063299804436</v>
      </c>
      <c r="F12" s="133">
        <v>2947.34</v>
      </c>
      <c r="G12" s="398" t="s">
        <v>103</v>
      </c>
      <c r="H12" s="135">
        <f t="shared" ref="H12:H19" si="5">SUM(B12,D12,F12,G12)</f>
        <v>86366660.030000001</v>
      </c>
      <c r="I12" s="85">
        <f>(H12-H11)/H11*100</f>
        <v>-20.867582976843124</v>
      </c>
      <c r="J12" s="133">
        <v>13400532.470000001</v>
      </c>
      <c r="K12" s="61">
        <f t="shared" si="2"/>
        <v>98.310248020884245</v>
      </c>
      <c r="L12" s="133">
        <v>230327.73</v>
      </c>
      <c r="M12" s="61">
        <f t="shared" si="3"/>
        <v>1.689751979115742</v>
      </c>
      <c r="N12" s="133">
        <v>0</v>
      </c>
      <c r="O12" s="398" t="s">
        <v>103</v>
      </c>
      <c r="P12" s="135">
        <f t="shared" si="4"/>
        <v>13630860.200000001</v>
      </c>
      <c r="Q12" s="85">
        <f>(P12-P11)/P11*100</f>
        <v>-49.459081467489987</v>
      </c>
      <c r="R12" s="67"/>
      <c r="S12" s="67"/>
    </row>
    <row r="13" spans="1:21">
      <c r="A13" s="54" t="s">
        <v>176</v>
      </c>
      <c r="B13" s="132">
        <v>58716951.659999996</v>
      </c>
      <c r="C13" s="61">
        <f t="shared" si="0"/>
        <v>41.962815244093811</v>
      </c>
      <c r="D13" s="133">
        <v>81205608.900000006</v>
      </c>
      <c r="E13" s="61">
        <f t="shared" si="1"/>
        <v>58.034619760007487</v>
      </c>
      <c r="F13" s="133">
        <v>3589.1</v>
      </c>
      <c r="G13" s="398" t="s">
        <v>103</v>
      </c>
      <c r="H13" s="135">
        <f t="shared" si="5"/>
        <v>139926149.66</v>
      </c>
      <c r="I13" s="85">
        <f>(H13-H12)/H12*100</f>
        <v>62.014079983405367</v>
      </c>
      <c r="J13" s="133">
        <v>6094439.9199999999</v>
      </c>
      <c r="K13" s="61">
        <f t="shared" si="2"/>
        <v>15.948700722551646</v>
      </c>
      <c r="L13" s="133">
        <v>32118327.539999999</v>
      </c>
      <c r="M13" s="61">
        <f t="shared" si="3"/>
        <v>84.051299277448351</v>
      </c>
      <c r="N13" s="133">
        <v>0</v>
      </c>
      <c r="O13" s="398" t="s">
        <v>103</v>
      </c>
      <c r="P13" s="135">
        <f t="shared" si="4"/>
        <v>38212767.460000001</v>
      </c>
      <c r="Q13" s="85">
        <f>(P13-P12)/P12*100</f>
        <v>180.34010252705838</v>
      </c>
      <c r="R13" s="67"/>
      <c r="S13" s="67"/>
    </row>
    <row r="14" spans="1:21">
      <c r="A14" s="54" t="s">
        <v>189</v>
      </c>
      <c r="B14" s="143">
        <v>58564934.600000001</v>
      </c>
      <c r="C14" s="61">
        <f t="shared" si="0"/>
        <v>57.86989136007206</v>
      </c>
      <c r="D14" s="133">
        <v>42636110.060000002</v>
      </c>
      <c r="E14" s="61">
        <f t="shared" si="1"/>
        <v>42.130108639927947</v>
      </c>
      <c r="F14" s="202">
        <v>0</v>
      </c>
      <c r="G14" s="399" t="s">
        <v>103</v>
      </c>
      <c r="H14" s="135">
        <f t="shared" si="5"/>
        <v>101201044.66</v>
      </c>
      <c r="I14" s="85">
        <f>(H14-H13)/H13*100</f>
        <v>-27.675388120159326</v>
      </c>
      <c r="J14" s="133">
        <v>2088656.62</v>
      </c>
      <c r="K14" s="61">
        <f t="shared" si="2"/>
        <v>22.365707456539933</v>
      </c>
      <c r="L14" s="133">
        <v>7250000</v>
      </c>
      <c r="M14" s="61">
        <f t="shared" si="3"/>
        <v>77.634292543460063</v>
      </c>
      <c r="N14" s="133">
        <v>0</v>
      </c>
      <c r="O14" s="398" t="s">
        <v>103</v>
      </c>
      <c r="P14" s="135">
        <f t="shared" si="4"/>
        <v>9338656.620000001</v>
      </c>
      <c r="Q14" s="85">
        <f>(P14-P13)/P13*100</f>
        <v>-75.561422946465655</v>
      </c>
      <c r="R14" s="67"/>
      <c r="S14" s="67"/>
    </row>
    <row r="15" spans="1:21">
      <c r="A15" s="54" t="s">
        <v>199</v>
      </c>
      <c r="B15" s="143">
        <v>53363672.869999997</v>
      </c>
      <c r="C15" s="61">
        <f t="shared" si="0"/>
        <v>88.716619277109316</v>
      </c>
      <c r="D15" s="202">
        <v>6787033.1699999999</v>
      </c>
      <c r="E15" s="61">
        <f t="shared" si="1"/>
        <v>11.28338072289068</v>
      </c>
      <c r="F15" s="202">
        <v>0</v>
      </c>
      <c r="G15" s="399" t="s">
        <v>103</v>
      </c>
      <c r="H15" s="135">
        <f t="shared" si="5"/>
        <v>60150706.039999999</v>
      </c>
      <c r="I15" s="85">
        <f>(H15-H14)/H14*100</f>
        <v>-40.563156989055535</v>
      </c>
      <c r="J15" s="133">
        <v>3240268.0199999996</v>
      </c>
      <c r="K15" s="61">
        <f t="shared" si="2"/>
        <v>30.074241759235331</v>
      </c>
      <c r="L15" s="133">
        <v>7533962.1200000001</v>
      </c>
      <c r="M15" s="61">
        <f t="shared" si="3"/>
        <v>69.925758240764651</v>
      </c>
      <c r="N15" s="133">
        <v>0</v>
      </c>
      <c r="O15" s="398" t="s">
        <v>103</v>
      </c>
      <c r="P15" s="135">
        <f t="shared" si="4"/>
        <v>10774230.140000001</v>
      </c>
      <c r="Q15" s="85">
        <f>(P15-P14)/P14*100</f>
        <v>15.372377188872369</v>
      </c>
      <c r="R15" s="67"/>
      <c r="S15" s="67"/>
    </row>
    <row r="16" spans="1:21">
      <c r="A16" s="54" t="s">
        <v>204</v>
      </c>
      <c r="B16" s="143">
        <v>79786350.520000011</v>
      </c>
      <c r="C16" s="61">
        <f t="shared" si="0"/>
        <v>100</v>
      </c>
      <c r="D16" s="202">
        <v>0</v>
      </c>
      <c r="E16" s="61">
        <f t="shared" si="1"/>
        <v>0</v>
      </c>
      <c r="F16" s="202">
        <v>0</v>
      </c>
      <c r="G16" s="399" t="s">
        <v>103</v>
      </c>
      <c r="H16" s="135">
        <f t="shared" si="5"/>
        <v>79786350.520000011</v>
      </c>
      <c r="I16" s="85">
        <f>(H16-H14)/H14*100</f>
        <v>-21.160546525923564</v>
      </c>
      <c r="J16" s="133">
        <v>5798095.5</v>
      </c>
      <c r="K16" s="61">
        <f t="shared" si="2"/>
        <v>99.948318709935378</v>
      </c>
      <c r="L16" s="133">
        <v>2998.08</v>
      </c>
      <c r="M16" s="61">
        <f t="shared" si="3"/>
        <v>5.1681290064622604E-2</v>
      </c>
      <c r="N16" s="133">
        <v>0</v>
      </c>
      <c r="O16" s="398" t="s">
        <v>103</v>
      </c>
      <c r="P16" s="135">
        <f t="shared" si="4"/>
        <v>5801093.5800000001</v>
      </c>
      <c r="Q16" s="85">
        <f>(P16-P14)/P14*100</f>
        <v>-37.880855715626474</v>
      </c>
      <c r="R16" s="67"/>
      <c r="S16" s="67"/>
    </row>
    <row r="17" spans="1:20">
      <c r="A17" s="54" t="s">
        <v>216</v>
      </c>
      <c r="B17" s="143">
        <v>78214738.260000005</v>
      </c>
      <c r="C17" s="61">
        <f t="shared" si="0"/>
        <v>32.635476052208126</v>
      </c>
      <c r="D17" s="202">
        <v>161444727.56</v>
      </c>
      <c r="E17" s="61">
        <f t="shared" si="1"/>
        <v>67.363589743471522</v>
      </c>
      <c r="F17" s="202">
        <v>2238.9299999999998</v>
      </c>
      <c r="G17" s="399" t="s">
        <v>103</v>
      </c>
      <c r="H17" s="135">
        <f t="shared" si="5"/>
        <v>239661704.75</v>
      </c>
      <c r="I17" s="85">
        <f>(H17-H15)/H15*100</f>
        <v>298.43539756728018</v>
      </c>
      <c r="J17" s="133">
        <v>5910049.9699999997</v>
      </c>
      <c r="K17" s="61">
        <f t="shared" si="2"/>
        <v>8.4363905223639755</v>
      </c>
      <c r="L17" s="133">
        <v>64144198.400000006</v>
      </c>
      <c r="M17" s="61">
        <f>L17/P17*100</f>
        <v>91.563609477636021</v>
      </c>
      <c r="N17" s="133">
        <v>0</v>
      </c>
      <c r="O17" s="398" t="s">
        <v>103</v>
      </c>
      <c r="P17" s="135">
        <f t="shared" si="4"/>
        <v>70054248.370000005</v>
      </c>
      <c r="Q17" s="85">
        <f>(P17-P15)/P15*100</f>
        <v>550.20189340414447</v>
      </c>
      <c r="R17" s="67"/>
      <c r="S17" s="67"/>
    </row>
    <row r="18" spans="1:20">
      <c r="A18" s="54" t="s">
        <v>225</v>
      </c>
      <c r="B18" s="143">
        <v>109916160</v>
      </c>
      <c r="C18" s="61">
        <f t="shared" si="0"/>
        <v>66.640653754071565</v>
      </c>
      <c r="D18" s="202">
        <v>55021926</v>
      </c>
      <c r="E18" s="61">
        <f t="shared" si="1"/>
        <v>33.359035827381042</v>
      </c>
      <c r="F18" s="202">
        <v>512</v>
      </c>
      <c r="G18" s="399" t="s">
        <v>103</v>
      </c>
      <c r="H18" s="135">
        <f t="shared" si="5"/>
        <v>164938598</v>
      </c>
      <c r="I18" s="85">
        <f>(H18-H16)/H16*100</f>
        <v>106.72533199604726</v>
      </c>
      <c r="J18" s="133">
        <v>1551018</v>
      </c>
      <c r="K18" s="61">
        <f t="shared" si="2"/>
        <v>8.240151459770253</v>
      </c>
      <c r="L18" s="133">
        <v>17267881</v>
      </c>
      <c r="M18" s="61">
        <f>L18/P18*100</f>
        <v>91.739718577920442</v>
      </c>
      <c r="N18" s="133">
        <v>3789</v>
      </c>
      <c r="O18" s="398" t="s">
        <v>103</v>
      </c>
      <c r="P18" s="135">
        <f t="shared" si="4"/>
        <v>18822688</v>
      </c>
      <c r="Q18" s="85">
        <f>(P18-P16)/P16*100</f>
        <v>224.46792558033513</v>
      </c>
      <c r="R18" s="67"/>
      <c r="S18" s="67"/>
    </row>
    <row r="19" spans="1:20">
      <c r="A19" s="54" t="s">
        <v>258</v>
      </c>
      <c r="B19" s="143">
        <v>81720101.242013276</v>
      </c>
      <c r="C19" s="61">
        <f>B19/H19*100</f>
        <v>51.002197283328329</v>
      </c>
      <c r="D19" s="202">
        <v>76840020.849531382</v>
      </c>
      <c r="E19" s="61">
        <f>D19/H19*100</f>
        <v>47.956498377513668</v>
      </c>
      <c r="F19" s="202">
        <v>316.17648329600001</v>
      </c>
      <c r="G19" s="202">
        <v>1668151.0769374573</v>
      </c>
      <c r="H19" s="135">
        <f t="shared" si="5"/>
        <v>160228589.34496543</v>
      </c>
      <c r="I19" s="85">
        <f>(H19-H17)/H17*100</f>
        <v>-33.143849781046242</v>
      </c>
      <c r="J19" s="133">
        <v>7017284.943</v>
      </c>
      <c r="K19" s="61">
        <f>J19/P19*100</f>
        <v>42.621301067407593</v>
      </c>
      <c r="L19" s="133">
        <v>9402465.199000001</v>
      </c>
      <c r="M19" s="61">
        <f>L19/P19*100</f>
        <v>57.108312299924449</v>
      </c>
      <c r="N19" s="133">
        <v>0</v>
      </c>
      <c r="O19" s="133">
        <v>44517.178</v>
      </c>
      <c r="P19" s="135">
        <f t="shared" si="4"/>
        <v>16464267.32</v>
      </c>
      <c r="Q19" s="85">
        <f>(P19-P17)/P17*100</f>
        <v>-76.497831747416683</v>
      </c>
      <c r="R19" s="67"/>
      <c r="S19" s="67"/>
    </row>
    <row r="20" spans="1:20" ht="35.25" customHeight="1">
      <c r="A20" s="34" t="str">
        <f>"période ("&amp;A10&amp;" - "&amp;A19&amp;")"</f>
        <v>période (2007 - 2016)</v>
      </c>
      <c r="B20" s="134">
        <f>SUM(B10:B19)</f>
        <v>667140278.59201336</v>
      </c>
      <c r="C20" s="62">
        <f>B20/H20*100</f>
        <v>55.003914773528351</v>
      </c>
      <c r="D20" s="134">
        <f>SUM(D10:D19)</f>
        <v>544073944.94953144</v>
      </c>
      <c r="E20" s="62">
        <f>D20/H20*100</f>
        <v>44.857427828612053</v>
      </c>
      <c r="F20" s="134">
        <f>SUM(F10:F19)</f>
        <v>13618.946483296</v>
      </c>
      <c r="G20" s="134"/>
      <c r="H20" s="136">
        <f>SUM(H10:H19)</f>
        <v>1212895993.5649652</v>
      </c>
      <c r="I20" s="78"/>
      <c r="J20" s="137">
        <f>SUM(J10:J19)</f>
        <v>55769333.033000007</v>
      </c>
      <c r="K20" s="62">
        <f>J20/P20*100</f>
        <v>24.975746475720541</v>
      </c>
      <c r="L20" s="137">
        <f>SUM(L10:L19)</f>
        <v>167476319.539</v>
      </c>
      <c r="M20" s="62">
        <f>L20/P20*100</f>
        <v>75.002620078273836</v>
      </c>
      <c r="N20" s="137">
        <f>SUM(N10:N19)</f>
        <v>3789</v>
      </c>
      <c r="O20" s="400"/>
      <c r="P20" s="138">
        <f>SUM(P10:P19)</f>
        <v>223293958.75</v>
      </c>
      <c r="Q20" s="78"/>
      <c r="S20" s="67"/>
      <c r="T20" s="67"/>
    </row>
    <row r="21" spans="1:20">
      <c r="A21" s="1"/>
      <c r="B21" s="1"/>
      <c r="C21" s="1"/>
      <c r="D21" s="1"/>
      <c r="E21" s="1"/>
      <c r="F21" s="1"/>
      <c r="G21" s="1"/>
      <c r="H21" s="29"/>
      <c r="I21" s="29"/>
    </row>
    <row r="43" spans="9:11">
      <c r="I43" s="416"/>
      <c r="J43" s="416"/>
      <c r="K43" s="416"/>
    </row>
  </sheetData>
  <mergeCells count="16">
    <mergeCell ref="I43:K43"/>
    <mergeCell ref="Q2:R2"/>
    <mergeCell ref="J6:M8"/>
    <mergeCell ref="A4:R4"/>
    <mergeCell ref="A5:A9"/>
    <mergeCell ref="P6:P9"/>
    <mergeCell ref="F6:F9"/>
    <mergeCell ref="G6:G9"/>
    <mergeCell ref="N6:N9"/>
    <mergeCell ref="O6:O9"/>
    <mergeCell ref="H6:H9"/>
    <mergeCell ref="B6:E8"/>
    <mergeCell ref="B5:I5"/>
    <mergeCell ref="J5:Q5"/>
    <mergeCell ref="I6:I9"/>
    <mergeCell ref="Q6:Q9"/>
  </mergeCells>
  <phoneticPr fontId="9" type="noConversion"/>
  <hyperlinks>
    <hyperlink ref="U8" location="Accueil!A1" display="Retour à l'accueil"/>
  </hyperlinks>
  <pageMargins left="0.18" right="0.18" top="0.2" bottom="0.2" header="0.2" footer="0.2"/>
  <pageSetup paperSize="9" scale="95" orientation="landscape" r:id="rId1"/>
  <headerFooter alignWithMargins="0"/>
  <ignoredErrors>
    <ignoredError sqref="C20 E20 Q20 I20 K20 M20" formula="1" formulaRange="1"/>
    <ignoredError sqref="A10:A1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tabColor rgb="FF92D050"/>
  </sheetPr>
  <dimension ref="A1:S51"/>
  <sheetViews>
    <sheetView showGridLines="0" workbookViewId="0"/>
  </sheetViews>
  <sheetFormatPr baseColWidth="10" defaultRowHeight="12.75"/>
  <cols>
    <col min="1" max="1" width="5.7109375" style="25" customWidth="1"/>
    <col min="2" max="2" width="16" style="25" customWidth="1"/>
    <col min="3" max="3" width="10" style="25" customWidth="1"/>
    <col min="4" max="4" width="10" style="25" bestFit="1" customWidth="1"/>
    <col min="5" max="5" width="7.140625" style="25" customWidth="1"/>
    <col min="6" max="6" width="8.28515625" style="25" customWidth="1"/>
    <col min="7" max="7" width="10" style="25" bestFit="1" customWidth="1"/>
    <col min="8" max="8" width="6.42578125" style="25" customWidth="1"/>
    <col min="9" max="9" width="9" style="25" customWidth="1"/>
    <col min="10" max="10" width="11" style="25" customWidth="1"/>
    <col min="11" max="12" width="7.28515625" style="25" customWidth="1"/>
    <col min="13" max="13" width="9.140625" style="25" bestFit="1" customWidth="1"/>
    <col min="14" max="14" width="6.140625" style="25" customWidth="1"/>
    <col min="15" max="15" width="11.42578125" style="25" customWidth="1"/>
    <col min="16" max="16" width="11.42578125" style="25"/>
    <col min="17" max="17" width="15.7109375" style="25" bestFit="1" customWidth="1"/>
    <col min="18" max="18" width="15.42578125" style="25" customWidth="1"/>
    <col min="19" max="16384" width="11.42578125" style="25"/>
  </cols>
  <sheetData>
    <row r="1" spans="1:19" ht="20.25">
      <c r="A1" s="24" t="s">
        <v>245</v>
      </c>
    </row>
    <row r="2" spans="1:19" ht="15.75">
      <c r="B2" s="24"/>
      <c r="M2" s="416"/>
      <c r="N2" s="416"/>
    </row>
    <row r="3" spans="1:19" ht="14.25" customHeight="1" thickBot="1">
      <c r="A3" s="483" t="s">
        <v>255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</row>
    <row r="4" spans="1:19" ht="33.75" customHeight="1" thickBot="1">
      <c r="A4" s="507"/>
      <c r="B4" s="105"/>
      <c r="C4" s="508" t="s">
        <v>240</v>
      </c>
      <c r="D4" s="509"/>
      <c r="E4" s="509"/>
      <c r="F4" s="509"/>
      <c r="G4" s="509"/>
      <c r="H4" s="510"/>
      <c r="I4" s="511" t="s">
        <v>241</v>
      </c>
      <c r="J4" s="512"/>
      <c r="K4" s="512"/>
      <c r="L4" s="512"/>
      <c r="M4" s="513"/>
      <c r="N4" s="514"/>
      <c r="O4" s="496" t="s">
        <v>70</v>
      </c>
      <c r="S4" s="269" t="s">
        <v>197</v>
      </c>
    </row>
    <row r="5" spans="1:19" ht="13.5" customHeight="1" thickTop="1">
      <c r="A5" s="507"/>
      <c r="B5" s="106"/>
      <c r="C5" s="500" t="s">
        <v>1</v>
      </c>
      <c r="D5" s="500"/>
      <c r="E5" s="517" t="s">
        <v>72</v>
      </c>
      <c r="F5" s="435" t="s">
        <v>259</v>
      </c>
      <c r="G5" s="515" t="s">
        <v>63</v>
      </c>
      <c r="H5" s="493" t="s">
        <v>95</v>
      </c>
      <c r="I5" s="499" t="s">
        <v>1</v>
      </c>
      <c r="J5" s="500"/>
      <c r="K5" s="520" t="s">
        <v>72</v>
      </c>
      <c r="L5" s="435" t="s">
        <v>259</v>
      </c>
      <c r="M5" s="515" t="s">
        <v>63</v>
      </c>
      <c r="N5" s="493" t="s">
        <v>95</v>
      </c>
      <c r="O5" s="497"/>
    </row>
    <row r="6" spans="1:19" ht="12.75" customHeight="1">
      <c r="A6" s="507"/>
      <c r="B6" s="106" t="s">
        <v>0</v>
      </c>
      <c r="C6" s="448"/>
      <c r="D6" s="448"/>
      <c r="E6" s="518"/>
      <c r="F6" s="436"/>
      <c r="G6" s="516"/>
      <c r="H6" s="494"/>
      <c r="I6" s="501"/>
      <c r="J6" s="448"/>
      <c r="K6" s="436"/>
      <c r="L6" s="436"/>
      <c r="M6" s="516"/>
      <c r="N6" s="494"/>
      <c r="O6" s="497"/>
    </row>
    <row r="7" spans="1:19" ht="20.25" customHeight="1">
      <c r="A7" s="507"/>
      <c r="B7" s="107"/>
      <c r="C7" s="503"/>
      <c r="D7" s="503"/>
      <c r="E7" s="518"/>
      <c r="F7" s="436"/>
      <c r="G7" s="516"/>
      <c r="H7" s="494"/>
      <c r="I7" s="502"/>
      <c r="J7" s="503"/>
      <c r="K7" s="436"/>
      <c r="L7" s="436"/>
      <c r="M7" s="516"/>
      <c r="N7" s="494"/>
      <c r="O7" s="497"/>
    </row>
    <row r="8" spans="1:19" ht="13.5" thickBot="1">
      <c r="A8" s="507"/>
      <c r="B8" s="108"/>
      <c r="C8" s="144" t="s">
        <v>3</v>
      </c>
      <c r="D8" s="145" t="s">
        <v>4</v>
      </c>
      <c r="E8" s="519"/>
      <c r="F8" s="428"/>
      <c r="G8" s="480"/>
      <c r="H8" s="495"/>
      <c r="I8" s="247" t="s">
        <v>3</v>
      </c>
      <c r="J8" s="145" t="s">
        <v>4</v>
      </c>
      <c r="K8" s="521"/>
      <c r="L8" s="428"/>
      <c r="M8" s="480"/>
      <c r="N8" s="495"/>
      <c r="O8" s="498"/>
    </row>
    <row r="9" spans="1:19">
      <c r="A9" s="504" t="s">
        <v>112</v>
      </c>
      <c r="B9" s="109" t="s">
        <v>99</v>
      </c>
      <c r="C9" s="118">
        <v>0</v>
      </c>
      <c r="D9" s="119">
        <v>57096136.542523265</v>
      </c>
      <c r="E9" s="120">
        <v>0</v>
      </c>
      <c r="F9" s="274">
        <v>1360435.863228034</v>
      </c>
      <c r="G9" s="249">
        <f>C9+D9+E9+F9</f>
        <v>58456572.405751295</v>
      </c>
      <c r="H9" s="250">
        <f>G9/G$30*100</f>
        <v>36.483234761492383</v>
      </c>
      <c r="I9" s="251">
        <v>1060226.1310000001</v>
      </c>
      <c r="J9" s="119">
        <v>9395947.3990000002</v>
      </c>
      <c r="K9" s="120">
        <v>0</v>
      </c>
      <c r="L9" s="274">
        <v>-88912.12</v>
      </c>
      <c r="M9" s="249">
        <f>I9+J9+K9+L9</f>
        <v>10367261.410000002</v>
      </c>
      <c r="N9" s="111">
        <f t="shared" ref="N9:N23" si="0">M9/M$30*100</f>
        <v>62.968252449389908</v>
      </c>
      <c r="O9" s="114">
        <f>M9-G9</f>
        <v>-48089310.995751292</v>
      </c>
      <c r="Q9" s="67"/>
    </row>
    <row r="10" spans="1:19">
      <c r="A10" s="505"/>
      <c r="B10" s="109" t="s">
        <v>217</v>
      </c>
      <c r="C10" s="272">
        <v>22.32</v>
      </c>
      <c r="D10" s="273">
        <v>0</v>
      </c>
      <c r="E10" s="274">
        <v>0</v>
      </c>
      <c r="F10" s="274">
        <v>0</v>
      </c>
      <c r="G10" s="127">
        <f>C10+D10+E10+F10</f>
        <v>22.32</v>
      </c>
      <c r="H10" s="100">
        <f t="shared" ref="H10:H23" si="1">G10/G$30*100</f>
        <v>1.3930098299714777E-5</v>
      </c>
      <c r="I10" s="275">
        <v>1301.8900000000001</v>
      </c>
      <c r="J10" s="273">
        <v>0</v>
      </c>
      <c r="K10" s="274">
        <v>0</v>
      </c>
      <c r="L10" s="274">
        <v>0</v>
      </c>
      <c r="M10" s="127">
        <f t="shared" ref="M10:M22" si="2">I10+J10+K10+L10</f>
        <v>1301.8900000000001</v>
      </c>
      <c r="N10" s="111">
        <f t="shared" si="0"/>
        <v>7.9073667518658828E-3</v>
      </c>
      <c r="O10" s="114">
        <f>M10-G10</f>
        <v>1279.5700000000002</v>
      </c>
      <c r="Q10" s="67"/>
    </row>
    <row r="11" spans="1:19">
      <c r="A11" s="505"/>
      <c r="B11" s="109" t="s">
        <v>73</v>
      </c>
      <c r="C11" s="272">
        <v>871816.9800000001</v>
      </c>
      <c r="D11" s="404"/>
      <c r="E11" s="274">
        <v>0</v>
      </c>
      <c r="F11" s="274">
        <v>0</v>
      </c>
      <c r="G11" s="127">
        <f t="shared" ref="G11:G22" si="3">C11+D11+E11+F11</f>
        <v>871816.9800000001</v>
      </c>
      <c r="H11" s="100">
        <f t="shared" si="1"/>
        <v>0.54410825406632957</v>
      </c>
      <c r="I11" s="275">
        <v>2842900.0999999992</v>
      </c>
      <c r="J11" s="404"/>
      <c r="K11" s="274">
        <v>0</v>
      </c>
      <c r="L11" s="274">
        <v>0</v>
      </c>
      <c r="M11" s="127">
        <f t="shared" si="2"/>
        <v>2842900.0999999992</v>
      </c>
      <c r="N11" s="111">
        <f t="shared" si="0"/>
        <v>17.267091482088492</v>
      </c>
      <c r="O11" s="114">
        <f t="shared" ref="O11:O22" si="4">M11-G11</f>
        <v>1971083.1199999992</v>
      </c>
      <c r="Q11" s="67"/>
    </row>
    <row r="12" spans="1:19">
      <c r="A12" s="505"/>
      <c r="B12" s="109" t="s">
        <v>74</v>
      </c>
      <c r="C12" s="272">
        <v>0</v>
      </c>
      <c r="D12" s="273">
        <v>324133.58692033013</v>
      </c>
      <c r="E12" s="274">
        <v>0</v>
      </c>
      <c r="F12" s="274">
        <v>0</v>
      </c>
      <c r="G12" s="127">
        <f t="shared" si="3"/>
        <v>324133.58692033013</v>
      </c>
      <c r="H12" s="100">
        <f t="shared" si="1"/>
        <v>0.2022944770626946</v>
      </c>
      <c r="I12" s="275">
        <v>0</v>
      </c>
      <c r="J12" s="273">
        <v>0</v>
      </c>
      <c r="K12" s="274">
        <v>0</v>
      </c>
      <c r="L12" s="274">
        <v>0</v>
      </c>
      <c r="M12" s="127">
        <f t="shared" si="2"/>
        <v>0</v>
      </c>
      <c r="N12" s="111">
        <f t="shared" si="0"/>
        <v>0</v>
      </c>
      <c r="O12" s="114">
        <f t="shared" si="4"/>
        <v>-324133.58692033013</v>
      </c>
      <c r="Q12" s="67"/>
    </row>
    <row r="13" spans="1:19">
      <c r="A13" s="505"/>
      <c r="B13" s="109" t="s">
        <v>218</v>
      </c>
      <c r="C13" s="272">
        <v>0</v>
      </c>
      <c r="D13" s="273">
        <v>0</v>
      </c>
      <c r="E13" s="274">
        <v>0</v>
      </c>
      <c r="F13" s="274">
        <v>0</v>
      </c>
      <c r="G13" s="127">
        <f t="shared" si="3"/>
        <v>0</v>
      </c>
      <c r="H13" s="100">
        <f t="shared" si="1"/>
        <v>0</v>
      </c>
      <c r="I13" s="275">
        <v>24311.710000000003</v>
      </c>
      <c r="J13" s="273">
        <v>-4282.2</v>
      </c>
      <c r="K13" s="274">
        <v>0</v>
      </c>
      <c r="L13" s="274">
        <v>0</v>
      </c>
      <c r="M13" s="127">
        <f t="shared" si="2"/>
        <v>20029.510000000002</v>
      </c>
      <c r="N13" s="111">
        <f t="shared" si="0"/>
        <v>0.12165442658762662</v>
      </c>
      <c r="O13" s="114">
        <f t="shared" si="4"/>
        <v>20029.510000000002</v>
      </c>
      <c r="Q13" s="67"/>
    </row>
    <row r="14" spans="1:19">
      <c r="A14" s="505"/>
      <c r="B14" s="319" t="s">
        <v>106</v>
      </c>
      <c r="C14" s="113">
        <v>0</v>
      </c>
      <c r="D14" s="73">
        <v>96329.940719129823</v>
      </c>
      <c r="E14" s="74">
        <v>0</v>
      </c>
      <c r="F14" s="74">
        <v>9895.5750377760105</v>
      </c>
      <c r="G14" s="127">
        <f t="shared" si="3"/>
        <v>106225.51575690584</v>
      </c>
      <c r="H14" s="100">
        <f t="shared" si="1"/>
        <v>6.629623102292112E-2</v>
      </c>
      <c r="I14" s="248">
        <v>4922.24</v>
      </c>
      <c r="J14" s="73">
        <v>0</v>
      </c>
      <c r="K14" s="74">
        <v>0</v>
      </c>
      <c r="L14" s="74">
        <v>0</v>
      </c>
      <c r="M14" s="127">
        <f t="shared" si="2"/>
        <v>4922.24</v>
      </c>
      <c r="N14" s="111">
        <f t="shared" si="0"/>
        <v>2.9896501947710114E-2</v>
      </c>
      <c r="O14" s="114">
        <f t="shared" si="4"/>
        <v>-101303.27575690583</v>
      </c>
      <c r="Q14" s="67"/>
    </row>
    <row r="15" spans="1:19">
      <c r="A15" s="505"/>
      <c r="B15" s="276" t="s">
        <v>75</v>
      </c>
      <c r="C15" s="113">
        <v>4517131.7497404842</v>
      </c>
      <c r="D15" s="404"/>
      <c r="E15" s="74">
        <v>316.17648329600001</v>
      </c>
      <c r="F15" s="74">
        <v>361395.83344908728</v>
      </c>
      <c r="G15" s="127">
        <f t="shared" si="3"/>
        <v>4878843.7596728671</v>
      </c>
      <c r="H15" s="100">
        <f t="shared" si="1"/>
        <v>3.0449271129566786</v>
      </c>
      <c r="I15" s="248">
        <v>66189.506000000008</v>
      </c>
      <c r="J15" s="404"/>
      <c r="K15" s="74">
        <v>0</v>
      </c>
      <c r="L15" s="74">
        <v>5295.1639999999998</v>
      </c>
      <c r="M15" s="127">
        <f t="shared" si="2"/>
        <v>71484.670000000013</v>
      </c>
      <c r="N15" s="111">
        <f t="shared" si="0"/>
        <v>0.43418069331979242</v>
      </c>
      <c r="O15" s="114">
        <f t="shared" si="4"/>
        <v>-4807359.0896728672</v>
      </c>
      <c r="Q15" s="67"/>
    </row>
    <row r="16" spans="1:19">
      <c r="A16" s="505"/>
      <c r="B16" s="384" t="s">
        <v>151</v>
      </c>
      <c r="C16" s="113">
        <v>0</v>
      </c>
      <c r="D16" s="73">
        <v>0</v>
      </c>
      <c r="E16" s="74">
        <v>0</v>
      </c>
      <c r="F16" s="74">
        <v>0</v>
      </c>
      <c r="G16" s="127">
        <f t="shared" si="3"/>
        <v>0</v>
      </c>
      <c r="H16" s="100">
        <f t="shared" si="1"/>
        <v>0</v>
      </c>
      <c r="I16" s="248">
        <v>2020.9</v>
      </c>
      <c r="J16" s="73">
        <v>0</v>
      </c>
      <c r="K16" s="74">
        <v>0</v>
      </c>
      <c r="L16" s="74">
        <v>0</v>
      </c>
      <c r="M16" s="127">
        <f t="shared" si="2"/>
        <v>2020.9</v>
      </c>
      <c r="N16" s="111">
        <f t="shared" si="0"/>
        <v>1.2274460567978681E-2</v>
      </c>
      <c r="O16" s="114">
        <f t="shared" si="4"/>
        <v>2020.9</v>
      </c>
      <c r="Q16" s="67"/>
    </row>
    <row r="17" spans="1:18">
      <c r="A17" s="505"/>
      <c r="B17" s="270" t="s">
        <v>76</v>
      </c>
      <c r="C17" s="113">
        <v>0</v>
      </c>
      <c r="D17" s="404"/>
      <c r="E17" s="74">
        <v>0</v>
      </c>
      <c r="F17" s="74">
        <v>0</v>
      </c>
      <c r="G17" s="127">
        <f t="shared" si="3"/>
        <v>0</v>
      </c>
      <c r="H17" s="100">
        <f t="shared" si="1"/>
        <v>0</v>
      </c>
      <c r="I17" s="248">
        <v>402096.83999999997</v>
      </c>
      <c r="J17" s="404"/>
      <c r="K17" s="74">
        <v>0</v>
      </c>
      <c r="L17" s="74">
        <v>0</v>
      </c>
      <c r="M17" s="127">
        <f t="shared" si="2"/>
        <v>402096.83999999997</v>
      </c>
      <c r="N17" s="111">
        <f t="shared" si="0"/>
        <v>2.4422395007614583</v>
      </c>
      <c r="O17" s="114">
        <f t="shared" si="4"/>
        <v>402096.83999999997</v>
      </c>
      <c r="Q17" s="67"/>
    </row>
    <row r="18" spans="1:18">
      <c r="A18" s="505"/>
      <c r="B18" s="388" t="s">
        <v>262</v>
      </c>
      <c r="C18" s="113">
        <v>0</v>
      </c>
      <c r="D18" s="73">
        <v>0</v>
      </c>
      <c r="E18" s="74">
        <v>0</v>
      </c>
      <c r="F18" s="74">
        <v>0</v>
      </c>
      <c r="G18" s="127">
        <f t="shared" si="3"/>
        <v>0</v>
      </c>
      <c r="H18" s="100">
        <f t="shared" si="1"/>
        <v>0</v>
      </c>
      <c r="I18" s="248">
        <v>16.100000000000001</v>
      </c>
      <c r="J18" s="73">
        <v>0</v>
      </c>
      <c r="K18" s="74">
        <v>0</v>
      </c>
      <c r="L18" s="74">
        <v>0</v>
      </c>
      <c r="M18" s="127">
        <f t="shared" si="2"/>
        <v>16.100000000000001</v>
      </c>
      <c r="N18" s="111">
        <f t="shared" si="0"/>
        <v>9.7787527905614707E-5</v>
      </c>
      <c r="O18" s="114">
        <f t="shared" si="4"/>
        <v>16.100000000000001</v>
      </c>
      <c r="Q18" s="67"/>
    </row>
    <row r="19" spans="1:18">
      <c r="A19" s="505"/>
      <c r="B19" s="109" t="s">
        <v>156</v>
      </c>
      <c r="C19" s="113">
        <v>0</v>
      </c>
      <c r="D19" s="73">
        <v>147540.96</v>
      </c>
      <c r="E19" s="74">
        <v>0</v>
      </c>
      <c r="F19" s="74">
        <v>0</v>
      </c>
      <c r="G19" s="127">
        <f t="shared" si="3"/>
        <v>147540.96</v>
      </c>
      <c r="H19" s="100">
        <f t="shared" si="1"/>
        <v>9.2081544625192024E-2</v>
      </c>
      <c r="I19" s="248">
        <v>0</v>
      </c>
      <c r="J19" s="73">
        <v>10800</v>
      </c>
      <c r="K19" s="74">
        <v>0</v>
      </c>
      <c r="L19" s="74">
        <v>0</v>
      </c>
      <c r="M19" s="127">
        <f t="shared" si="2"/>
        <v>10800</v>
      </c>
      <c r="N19" s="111">
        <f t="shared" si="0"/>
        <v>6.5596602570225995E-2</v>
      </c>
      <c r="O19" s="114">
        <f t="shared" si="4"/>
        <v>-136740.96</v>
      </c>
      <c r="Q19" s="67"/>
    </row>
    <row r="20" spans="1:18">
      <c r="A20" s="505"/>
      <c r="B20" s="276" t="s">
        <v>219</v>
      </c>
      <c r="C20" s="320">
        <v>0</v>
      </c>
      <c r="D20" s="321">
        <v>0</v>
      </c>
      <c r="E20" s="321">
        <v>0</v>
      </c>
      <c r="F20" s="321">
        <v>0</v>
      </c>
      <c r="G20" s="127">
        <f t="shared" si="3"/>
        <v>0</v>
      </c>
      <c r="H20" s="100">
        <f t="shared" si="1"/>
        <v>0</v>
      </c>
      <c r="I20" s="322">
        <v>11813.87</v>
      </c>
      <c r="J20" s="321">
        <v>0</v>
      </c>
      <c r="K20" s="321">
        <v>0</v>
      </c>
      <c r="L20" s="321">
        <v>0</v>
      </c>
      <c r="M20" s="127">
        <f t="shared" si="2"/>
        <v>11813.87</v>
      </c>
      <c r="N20" s="111">
        <f t="shared" si="0"/>
        <v>7.1754605111695915E-2</v>
      </c>
      <c r="O20" s="114">
        <f t="shared" si="4"/>
        <v>11813.87</v>
      </c>
      <c r="Q20" s="67"/>
    </row>
    <row r="21" spans="1:18">
      <c r="A21" s="505"/>
      <c r="B21" s="271" t="s">
        <v>160</v>
      </c>
      <c r="C21" s="320">
        <v>0</v>
      </c>
      <c r="D21" s="321">
        <v>19175879.81936866</v>
      </c>
      <c r="E21" s="321">
        <v>0</v>
      </c>
      <c r="F21" s="321">
        <v>0</v>
      </c>
      <c r="G21" s="127">
        <f t="shared" si="3"/>
        <v>19175879.81936866</v>
      </c>
      <c r="H21" s="100">
        <f t="shared" si="1"/>
        <v>11.967826651761753</v>
      </c>
      <c r="I21" s="322">
        <v>238738.87</v>
      </c>
      <c r="J21" s="404"/>
      <c r="K21" s="321">
        <v>0</v>
      </c>
      <c r="L21" s="321">
        <v>0</v>
      </c>
      <c r="M21" s="127">
        <f t="shared" si="2"/>
        <v>238738.87</v>
      </c>
      <c r="N21" s="111">
        <f t="shared" si="0"/>
        <v>1.4500424790235973</v>
      </c>
      <c r="O21" s="114">
        <f t="shared" si="4"/>
        <v>-18937140.949368659</v>
      </c>
      <c r="Q21" s="67"/>
    </row>
    <row r="22" spans="1:18">
      <c r="A22" s="505"/>
      <c r="B22" s="271" t="s">
        <v>77</v>
      </c>
      <c r="C22" s="320">
        <v>0</v>
      </c>
      <c r="D22" s="321">
        <v>0</v>
      </c>
      <c r="E22" s="321">
        <v>0</v>
      </c>
      <c r="F22" s="321">
        <v>0</v>
      </c>
      <c r="G22" s="127">
        <f t="shared" si="3"/>
        <v>0</v>
      </c>
      <c r="H22" s="100">
        <f t="shared" si="1"/>
        <v>0</v>
      </c>
      <c r="I22" s="322">
        <v>246960.16600000003</v>
      </c>
      <c r="J22" s="321">
        <v>0</v>
      </c>
      <c r="K22" s="321">
        <v>0</v>
      </c>
      <c r="L22" s="321">
        <v>17287.214</v>
      </c>
      <c r="M22" s="127">
        <f t="shared" si="2"/>
        <v>264247.38</v>
      </c>
      <c r="N22" s="111">
        <f t="shared" si="0"/>
        <v>1.6049750338966193</v>
      </c>
      <c r="O22" s="114">
        <f t="shared" si="4"/>
        <v>264247.38</v>
      </c>
      <c r="P22" s="67"/>
      <c r="Q22" s="67"/>
    </row>
    <row r="23" spans="1:18" ht="15.75" thickBot="1">
      <c r="A23" s="506"/>
      <c r="B23" s="290" t="s">
        <v>104</v>
      </c>
      <c r="C23" s="291">
        <f>SUM(C9:C22)</f>
        <v>5388971.049740484</v>
      </c>
      <c r="D23" s="292">
        <f>SUM(D9:D22)</f>
        <v>76840020.849531382</v>
      </c>
      <c r="E23" s="292">
        <f>SUM(E9:E22)</f>
        <v>316.17648329600001</v>
      </c>
      <c r="F23" s="292">
        <f>SUM(F9:F22)</f>
        <v>1731727.2717148974</v>
      </c>
      <c r="G23" s="294">
        <f>SUM(G9:G22)</f>
        <v>83961035.347470045</v>
      </c>
      <c r="H23" s="293">
        <f t="shared" si="1"/>
        <v>52.400782963086243</v>
      </c>
      <c r="I23" s="291">
        <f>SUM(I9:I22)</f>
        <v>4901498.3229999999</v>
      </c>
      <c r="J23" s="292">
        <f>SUM(J9:J22)</f>
        <v>9402465.199000001</v>
      </c>
      <c r="K23" s="292">
        <f>SUM(K9:K22)</f>
        <v>0</v>
      </c>
      <c r="L23" s="292">
        <f>SUM(L9:L22)</f>
        <v>-66329.741999999998</v>
      </c>
      <c r="M23" s="294">
        <f>IF(SUM(I23:L23)=SUM(M9:M22),SUM(I23:L23),"Faux")</f>
        <v>14237633.779999999</v>
      </c>
      <c r="N23" s="295">
        <f t="shared" si="0"/>
        <v>86.475963389544859</v>
      </c>
      <c r="O23" s="359">
        <f>SUM(O9:O22)</f>
        <v>-69723401.567470059</v>
      </c>
      <c r="Q23" s="395"/>
    </row>
    <row r="24" spans="1:18" ht="8.25" customHeight="1" thickBot="1">
      <c r="A24" s="296"/>
      <c r="B24" s="297"/>
      <c r="C24" s="298"/>
      <c r="D24" s="299"/>
      <c r="E24" s="299"/>
      <c r="F24" s="299"/>
      <c r="G24" s="300"/>
      <c r="H24" s="301"/>
      <c r="I24" s="298"/>
      <c r="J24" s="299"/>
      <c r="K24" s="299"/>
      <c r="L24" s="299"/>
      <c r="M24" s="302"/>
      <c r="N24" s="301"/>
      <c r="O24" s="300"/>
      <c r="Q24" s="67"/>
    </row>
    <row r="25" spans="1:18" ht="25.5">
      <c r="A25" s="490" t="s">
        <v>105</v>
      </c>
      <c r="B25" s="117" t="s">
        <v>250</v>
      </c>
      <c r="C25" s="118">
        <v>12283669.47002</v>
      </c>
      <c r="D25" s="407"/>
      <c r="E25" s="120">
        <v>0</v>
      </c>
      <c r="F25" s="120">
        <v>0</v>
      </c>
      <c r="G25" s="249">
        <f>C25+D25+E25+F25</f>
        <v>12283669.47002</v>
      </c>
      <c r="H25" s="121">
        <f>G25/G$30*100</f>
        <v>7.6663406450978471</v>
      </c>
      <c r="I25" s="279">
        <v>783.93</v>
      </c>
      <c r="J25" s="409"/>
      <c r="K25" s="280">
        <v>0</v>
      </c>
      <c r="L25" s="120">
        <v>0</v>
      </c>
      <c r="M25" s="249">
        <f>I25+J25+K25+L25</f>
        <v>783.93</v>
      </c>
      <c r="N25" s="122">
        <f>M25/M$30*100</f>
        <v>4.7614022826738206E-3</v>
      </c>
      <c r="O25" s="123">
        <f>M25-G25</f>
        <v>-12282885.54002</v>
      </c>
      <c r="P25" s="67"/>
      <c r="Q25" s="67"/>
      <c r="R25" s="67"/>
    </row>
    <row r="26" spans="1:18" ht="25.5">
      <c r="A26" s="491"/>
      <c r="B26" s="115" t="s">
        <v>100</v>
      </c>
      <c r="C26" s="113">
        <v>63689358.922252804</v>
      </c>
      <c r="D26" s="404"/>
      <c r="E26" s="74">
        <v>0</v>
      </c>
      <c r="F26" s="74">
        <v>-63576.194777439989</v>
      </c>
      <c r="G26" s="127">
        <f>C26+D26+E26+F26</f>
        <v>63625782.727475367</v>
      </c>
      <c r="H26" s="100">
        <f>G26/G$30*100</f>
        <v>39.709382069445638</v>
      </c>
      <c r="I26" s="248">
        <v>2111369.4700000002</v>
      </c>
      <c r="J26" s="404"/>
      <c r="K26" s="74">
        <v>0</v>
      </c>
      <c r="L26" s="74">
        <v>110846.92</v>
      </c>
      <c r="M26" s="127">
        <f>I26+J26+K26+L26</f>
        <v>2222216.39</v>
      </c>
      <c r="N26" s="100">
        <f>M26/M$30*100</f>
        <v>13.497207903691885</v>
      </c>
      <c r="O26" s="124">
        <f>M26-G26</f>
        <v>-61403566.337475367</v>
      </c>
      <c r="P26" s="67"/>
      <c r="Q26" s="67"/>
    </row>
    <row r="27" spans="1:18" ht="25.5">
      <c r="A27" s="491"/>
      <c r="B27" s="408" t="s">
        <v>249</v>
      </c>
      <c r="C27" s="391">
        <v>358101.8000000001</v>
      </c>
      <c r="D27" s="404"/>
      <c r="E27" s="389">
        <v>0</v>
      </c>
      <c r="F27" s="389">
        <v>0</v>
      </c>
      <c r="G27" s="127">
        <f>C27+D27+E27+F27</f>
        <v>358101.8000000001</v>
      </c>
      <c r="H27" s="392"/>
      <c r="I27" s="360">
        <v>3633.22</v>
      </c>
      <c r="J27" s="404"/>
      <c r="K27" s="361">
        <v>0</v>
      </c>
      <c r="L27" s="361">
        <v>0</v>
      </c>
      <c r="M27" s="127">
        <f>I27+J27+K27+L27</f>
        <v>3633.22</v>
      </c>
      <c r="N27" s="100">
        <f>M27/M$30*100</f>
        <v>2.206730448057375E-2</v>
      </c>
      <c r="O27" s="124">
        <f>M27-G27</f>
        <v>-354468.58000000013</v>
      </c>
      <c r="P27" s="67"/>
      <c r="Q27" s="67"/>
    </row>
    <row r="28" spans="1:18" ht="19.5" customHeight="1" thickBot="1">
      <c r="A28" s="492"/>
      <c r="B28" s="125" t="s">
        <v>104</v>
      </c>
      <c r="C28" s="405">
        <f>SUM(C25:C27)</f>
        <v>76331130.192272797</v>
      </c>
      <c r="D28" s="406"/>
      <c r="E28" s="393">
        <f>SUM(E25:E27)</f>
        <v>0</v>
      </c>
      <c r="F28" s="394">
        <f>SUM(F25:F27)</f>
        <v>-63576.194777439989</v>
      </c>
      <c r="G28" s="364">
        <f>SUM(G25:G27)</f>
        <v>76267553.997495368</v>
      </c>
      <c r="H28" s="365">
        <f>G28/G$30*100</f>
        <v>47.599217036913764</v>
      </c>
      <c r="I28" s="362">
        <f>SUM(I25:I27)</f>
        <v>2115786.6200000006</v>
      </c>
      <c r="J28" s="363">
        <f>SUM(J25:J27)</f>
        <v>0</v>
      </c>
      <c r="K28" s="363">
        <f>SUM(K25:K27)</f>
        <v>0</v>
      </c>
      <c r="L28" s="363">
        <f>SUM(L25:L27)</f>
        <v>110846.92</v>
      </c>
      <c r="M28" s="357">
        <f>IF(SUM(I28:L28)=SUM(M25:M27),SUM(I28:L28),"Faux")</f>
        <v>2226633.5400000005</v>
      </c>
      <c r="N28" s="358">
        <f>M28/M$30*100</f>
        <v>13.524036610455134</v>
      </c>
      <c r="O28" s="359">
        <f>IF(M28-G28=SUM(O25:O27),SUM(O25:O27),"Faux")</f>
        <v>-74040920.457495362</v>
      </c>
      <c r="R28" s="366"/>
    </row>
    <row r="29" spans="1:18" ht="13.5" thickBot="1">
      <c r="B29" s="303"/>
      <c r="C29" s="306"/>
      <c r="D29" s="307"/>
      <c r="E29" s="307"/>
      <c r="F29" s="307"/>
      <c r="G29" s="304"/>
      <c r="H29" s="308"/>
      <c r="I29" s="306"/>
      <c r="J29" s="307"/>
      <c r="K29" s="307"/>
      <c r="L29" s="307"/>
      <c r="M29" s="304"/>
      <c r="N29" s="308"/>
      <c r="O29" s="305"/>
      <c r="Q29" s="67"/>
    </row>
    <row r="30" spans="1:18">
      <c r="B30" s="309" t="s">
        <v>257</v>
      </c>
      <c r="C30" s="310">
        <f>C23+C28</f>
        <v>81720101.242013276</v>
      </c>
      <c r="D30" s="311">
        <f>D23+D28</f>
        <v>76840020.849531382</v>
      </c>
      <c r="E30" s="311">
        <f>E23+E28</f>
        <v>316.17648329600001</v>
      </c>
      <c r="F30" s="311">
        <f>F23+F28</f>
        <v>1668151.0769374573</v>
      </c>
      <c r="G30" s="310">
        <f>IF(G23+G28=SUM(C30:F30),G23+G28,"FAUX")</f>
        <v>160228589.3449654</v>
      </c>
      <c r="H30" s="312">
        <f>G30/G$30*100</f>
        <v>100</v>
      </c>
      <c r="I30" s="310">
        <f>I23+I28</f>
        <v>7017284.943</v>
      </c>
      <c r="J30" s="311">
        <f>J23+J28</f>
        <v>9402465.199000001</v>
      </c>
      <c r="K30" s="311">
        <f>K23+K28</f>
        <v>0</v>
      </c>
      <c r="L30" s="311">
        <f>L23+L28</f>
        <v>44517.178</v>
      </c>
      <c r="M30" s="311">
        <f>M23+M28</f>
        <v>16464267.32</v>
      </c>
      <c r="N30" s="312">
        <f>M30/M$30*100</f>
        <v>100</v>
      </c>
      <c r="O30" s="313">
        <f>IF(M30-G30=O23+O28,M30-G30,"Faux")</f>
        <v>-143764322.02496541</v>
      </c>
    </row>
    <row r="31" spans="1:18">
      <c r="B31" s="98" t="s">
        <v>251</v>
      </c>
      <c r="C31" s="97">
        <v>109916160.20999999</v>
      </c>
      <c r="D31" s="90">
        <v>55021926.309999995</v>
      </c>
      <c r="E31" s="281">
        <v>512</v>
      </c>
      <c r="F31" s="390" t="s">
        <v>103</v>
      </c>
      <c r="G31" s="91">
        <f>C31+D31+E31</f>
        <v>164938598.51999998</v>
      </c>
      <c r="H31" s="92"/>
      <c r="I31" s="93">
        <v>1551018.1140000003</v>
      </c>
      <c r="J31" s="94">
        <v>17267880.902999997</v>
      </c>
      <c r="K31" s="94">
        <v>3789.1</v>
      </c>
      <c r="L31" s="385" t="s">
        <v>103</v>
      </c>
      <c r="M31" s="94">
        <v>70054248.370000005</v>
      </c>
      <c r="N31" s="95"/>
      <c r="O31" s="194">
        <f>M31-G31</f>
        <v>-94884350.149999976</v>
      </c>
    </row>
    <row r="32" spans="1:18" ht="13.5" thickBot="1">
      <c r="B32" s="99" t="s">
        <v>102</v>
      </c>
      <c r="C32" s="87">
        <f>IFERROR((C30-C31)/C31*100,"-")</f>
        <v>-25.652332572496</v>
      </c>
      <c r="D32" s="87">
        <f>IFERROR((D30-D31)/D31*100,"-")</f>
        <v>39.653454545749057</v>
      </c>
      <c r="E32" s="96">
        <f>IFERROR((E30-E31)/E31*100,"-")</f>
        <v>-38.246780606249999</v>
      </c>
      <c r="F32" s="96" t="str">
        <f>IFERROR((F30-F31)/F31*100,"-")</f>
        <v>-</v>
      </c>
      <c r="G32" s="88">
        <f>IFERROR((G30-G31)/G31*100,"-")</f>
        <v>-2.8556136752086325</v>
      </c>
      <c r="H32" s="89"/>
      <c r="I32" s="87">
        <f>IFERROR((I30-I31)/I31*100,"-")</f>
        <v>352.43088263506888</v>
      </c>
      <c r="J32" s="87">
        <f>IFERROR((J30-J31)/J31*100,"-")</f>
        <v>-45.549397451736631</v>
      </c>
      <c r="K32" s="96">
        <f>IFERROR((K30-K31)/K31*100,"-")</f>
        <v>-100</v>
      </c>
      <c r="L32" s="96" t="str">
        <f>IFERROR((L30-L31)/L31*100,"-")</f>
        <v>-</v>
      </c>
      <c r="M32" s="88">
        <f>IFERROR((M30-M31)/M31*100,"-")</f>
        <v>-76.497831747416683</v>
      </c>
      <c r="N32" s="86"/>
      <c r="O32" s="326">
        <f>IFERROR((O30-O31)/O31*100,"-")</f>
        <v>51.515315010001615</v>
      </c>
    </row>
    <row r="33" spans="2:17">
      <c r="B33" s="323" t="s">
        <v>220</v>
      </c>
      <c r="C33" s="324"/>
      <c r="D33" s="324"/>
      <c r="E33" s="325"/>
      <c r="F33" s="325"/>
      <c r="G33" s="324"/>
      <c r="H33" s="317"/>
      <c r="I33" s="324"/>
      <c r="J33" s="324"/>
      <c r="K33" s="325"/>
      <c r="L33" s="325"/>
      <c r="M33" s="324"/>
      <c r="N33" s="317"/>
      <c r="O33" s="317"/>
    </row>
    <row r="35" spans="2:17">
      <c r="Q35" s="67"/>
    </row>
    <row r="38" spans="2:17">
      <c r="O38" s="67"/>
    </row>
    <row r="41" spans="2:17">
      <c r="O41" s="67"/>
    </row>
    <row r="42" spans="2:17">
      <c r="O42" s="67"/>
    </row>
    <row r="43" spans="2:17">
      <c r="N43" s="237"/>
      <c r="O43" s="237"/>
    </row>
    <row r="44" spans="2:17">
      <c r="N44" s="237"/>
      <c r="O44" s="237"/>
    </row>
    <row r="49" spans="11:13">
      <c r="K49" s="26"/>
      <c r="L49" s="26"/>
    </row>
    <row r="50" spans="11:13">
      <c r="K50" s="26"/>
      <c r="L50" s="26"/>
    </row>
    <row r="51" spans="11:13">
      <c r="M51" s="26"/>
    </row>
  </sheetData>
  <mergeCells count="18">
    <mergeCell ref="K5:K8"/>
    <mergeCell ref="F5:F8"/>
    <mergeCell ref="A3:R3"/>
    <mergeCell ref="A25:A28"/>
    <mergeCell ref="H5:H8"/>
    <mergeCell ref="N5:N8"/>
    <mergeCell ref="M2:N2"/>
    <mergeCell ref="O4:O8"/>
    <mergeCell ref="I5:J7"/>
    <mergeCell ref="A9:A23"/>
    <mergeCell ref="L5:L8"/>
    <mergeCell ref="A4:A8"/>
    <mergeCell ref="C4:H4"/>
    <mergeCell ref="I4:N4"/>
    <mergeCell ref="C5:D7"/>
    <mergeCell ref="G5:G8"/>
    <mergeCell ref="M5:M8"/>
    <mergeCell ref="E5:E8"/>
  </mergeCells>
  <conditionalFormatting sqref="O33 O9:O31">
    <cfRule type="cellIs" dxfId="15" priority="1" stopIfTrue="1" operator="greaterThan">
      <formula>0.1</formula>
    </cfRule>
    <cfRule type="cellIs" dxfId="14" priority="2" stopIfTrue="1" operator="lessThan">
      <formula>-0.1</formula>
    </cfRule>
    <cfRule type="cellIs" dxfId="13" priority="3" stopIfTrue="1" operator="equal">
      <formula>0</formula>
    </cfRule>
  </conditionalFormatting>
  <hyperlinks>
    <hyperlink ref="S4" location="Accueil!A1" display="Retour à l'accueil"/>
  </hyperlinks>
  <pageMargins left="0.17" right="0.18" top="0.17" bottom="0.18" header="0.17" footer="0.18"/>
  <pageSetup paperSize="9" orientation="landscape" r:id="rId1"/>
  <ignoredErrors>
    <ignoredError sqref="H10:H22" evalError="1"/>
    <ignoredError sqref="H23" evalError="1" formula="1"/>
    <ignoredError sqref="H2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1:Q119"/>
  <sheetViews>
    <sheetView showGridLines="0" topLeftCell="A79" workbookViewId="0">
      <selection activeCell="C105" sqref="C105:C106"/>
    </sheetView>
  </sheetViews>
  <sheetFormatPr baseColWidth="10" defaultRowHeight="12.75"/>
  <cols>
    <col min="1" max="1" width="13" style="13" customWidth="1"/>
    <col min="2" max="2" width="19" style="49" customWidth="1"/>
    <col min="3" max="3" width="15.28515625" style="49" customWidth="1"/>
    <col min="4" max="6" width="14.140625" style="13" bestFit="1" customWidth="1"/>
    <col min="7" max="7" width="15.140625" style="13" customWidth="1"/>
    <col min="8" max="8" width="17.42578125" style="13" customWidth="1"/>
    <col min="9" max="9" width="11.42578125" style="13"/>
    <col min="10" max="10" width="12.140625" style="13" customWidth="1"/>
    <col min="11" max="11" width="12.28515625" style="13" customWidth="1"/>
    <col min="12" max="13" width="11.42578125" style="13"/>
    <col min="14" max="14" width="14.42578125" style="13" customWidth="1"/>
    <col min="15" max="15" width="13.5703125" style="13" customWidth="1"/>
    <col min="16" max="16" width="13.140625" style="13" customWidth="1"/>
    <col min="17" max="17" width="13.7109375" style="13" customWidth="1"/>
    <col min="18" max="16384" width="11.42578125" style="13"/>
  </cols>
  <sheetData>
    <row r="1" spans="1:14" s="46" customFormat="1" ht="39" customHeight="1">
      <c r="B1" s="47" t="s">
        <v>85</v>
      </c>
      <c r="C1" s="48" t="s">
        <v>86</v>
      </c>
    </row>
    <row r="2" spans="1:14">
      <c r="A2" s="13" t="s">
        <v>83</v>
      </c>
      <c r="B2" s="49">
        <f>'Histo CNSE - pays E.E.E'!H25</f>
        <v>2860330888.8761487</v>
      </c>
      <c r="C2" s="49">
        <f>'Histo CNSE - pays E.E.E'!P25</f>
        <v>6930074542.3499994</v>
      </c>
    </row>
    <row r="3" spans="1:14">
      <c r="A3" s="13" t="s">
        <v>84</v>
      </c>
      <c r="B3" s="49">
        <f>'Histo CNSE-pays hors EEE'!H20-B4-B5</f>
        <v>883982828.46498203</v>
      </c>
      <c r="C3" s="49">
        <f>'Histo CNSE-pays hors EEE'!P20-C4-C5</f>
        <v>217526053.37067956</v>
      </c>
      <c r="D3" s="50"/>
      <c r="E3" s="50"/>
    </row>
    <row r="4" spans="1:14">
      <c r="A4" s="13" t="s">
        <v>92</v>
      </c>
      <c r="B4" s="49">
        <f>G40</f>
        <v>272764151.91998321</v>
      </c>
      <c r="C4" s="49">
        <f>M40</f>
        <v>3103287.3093204428</v>
      </c>
    </row>
    <row r="5" spans="1:14">
      <c r="A5" s="13" t="s">
        <v>93</v>
      </c>
      <c r="B5" s="49">
        <f>G24</f>
        <v>56149013.180000007</v>
      </c>
      <c r="C5" s="49">
        <f>M24</f>
        <v>2664618.0699999998</v>
      </c>
    </row>
    <row r="6" spans="1:14" ht="24.75" thickBot="1">
      <c r="A6" s="41" t="s">
        <v>178</v>
      </c>
      <c r="B6" s="49">
        <f>SUM(B2:B5)</f>
        <v>4073226882.4411139</v>
      </c>
      <c r="C6" s="49">
        <f>SUM(C2:C5)</f>
        <v>7153368501.0999994</v>
      </c>
    </row>
    <row r="8" spans="1:14" customFormat="1" ht="13.5" thickBot="1"/>
    <row r="9" spans="1:14" s="25" customFormat="1" ht="26.25" customHeight="1">
      <c r="A9" s="522" t="s">
        <v>49</v>
      </c>
      <c r="B9" s="410" t="s">
        <v>87</v>
      </c>
      <c r="C9" s="523"/>
      <c r="D9" s="523"/>
      <c r="E9" s="523"/>
      <c r="F9" s="523"/>
      <c r="G9" s="524"/>
      <c r="H9" s="413" t="s">
        <v>88</v>
      </c>
      <c r="I9" s="525"/>
      <c r="J9" s="525"/>
      <c r="K9" s="525"/>
      <c r="L9" s="525"/>
      <c r="M9" s="526"/>
      <c r="N9" s="527" t="s">
        <v>70</v>
      </c>
    </row>
    <row r="10" spans="1:14" s="25" customFormat="1">
      <c r="A10" s="439"/>
      <c r="B10" s="530" t="s">
        <v>1</v>
      </c>
      <c r="C10" s="531"/>
      <c r="D10" s="28" t="s">
        <v>59</v>
      </c>
      <c r="E10" s="5" t="s">
        <v>60</v>
      </c>
      <c r="F10" s="5"/>
      <c r="G10" s="535" t="s">
        <v>63</v>
      </c>
      <c r="H10" s="536" t="s">
        <v>1</v>
      </c>
      <c r="I10" s="537"/>
      <c r="J10" s="2" t="s">
        <v>59</v>
      </c>
      <c r="K10" s="5" t="s">
        <v>60</v>
      </c>
      <c r="L10" s="5"/>
      <c r="M10" s="538" t="s">
        <v>63</v>
      </c>
      <c r="N10" s="528"/>
    </row>
    <row r="11" spans="1:14" s="25" customFormat="1">
      <c r="A11" s="439"/>
      <c r="B11" s="532"/>
      <c r="C11" s="531"/>
      <c r="D11" s="8" t="s">
        <v>61</v>
      </c>
      <c r="E11" s="6" t="s">
        <v>62</v>
      </c>
      <c r="F11" s="7" t="s">
        <v>71</v>
      </c>
      <c r="G11" s="439"/>
      <c r="H11" s="532"/>
      <c r="I11" s="531"/>
      <c r="J11" s="8" t="s">
        <v>61</v>
      </c>
      <c r="K11" s="6" t="s">
        <v>62</v>
      </c>
      <c r="L11" s="7" t="s">
        <v>71</v>
      </c>
      <c r="M11" s="439"/>
      <c r="N11" s="528"/>
    </row>
    <row r="12" spans="1:14" s="25" customFormat="1" ht="24">
      <c r="A12" s="439"/>
      <c r="B12" s="533"/>
      <c r="C12" s="534"/>
      <c r="D12" s="8" t="s">
        <v>5</v>
      </c>
      <c r="E12" s="9" t="s">
        <v>64</v>
      </c>
      <c r="F12" s="10" t="s">
        <v>65</v>
      </c>
      <c r="G12" s="439"/>
      <c r="H12" s="533"/>
      <c r="I12" s="534"/>
      <c r="J12" s="8" t="s">
        <v>5</v>
      </c>
      <c r="K12" s="9" t="s">
        <v>64</v>
      </c>
      <c r="L12" s="10" t="s">
        <v>65</v>
      </c>
      <c r="M12" s="439"/>
      <c r="N12" s="528"/>
    </row>
    <row r="13" spans="1:14" s="25" customFormat="1">
      <c r="A13" s="440"/>
      <c r="B13" s="11" t="s">
        <v>3</v>
      </c>
      <c r="C13" s="11" t="s">
        <v>4</v>
      </c>
      <c r="D13" s="11" t="s">
        <v>3</v>
      </c>
      <c r="E13" s="12" t="s">
        <v>4</v>
      </c>
      <c r="F13" s="12" t="s">
        <v>4</v>
      </c>
      <c r="G13" s="440"/>
      <c r="H13" s="11" t="s">
        <v>3</v>
      </c>
      <c r="I13" s="11" t="s">
        <v>4</v>
      </c>
      <c r="J13" s="11" t="s">
        <v>3</v>
      </c>
      <c r="K13" s="12" t="s">
        <v>4</v>
      </c>
      <c r="L13" s="12" t="s">
        <v>4</v>
      </c>
      <c r="M13" s="440"/>
      <c r="N13" s="529"/>
    </row>
    <row r="14" spans="1:14" s="25" customFormat="1">
      <c r="A14" s="30" t="s">
        <v>50</v>
      </c>
      <c r="B14" s="3"/>
      <c r="C14" s="22"/>
      <c r="D14" s="22"/>
      <c r="E14" s="3"/>
      <c r="F14" s="3"/>
      <c r="G14" s="31"/>
      <c r="H14" s="22"/>
      <c r="I14" s="22"/>
      <c r="J14" s="22"/>
      <c r="K14" s="23"/>
      <c r="L14" s="22"/>
      <c r="M14" s="3"/>
      <c r="N14" s="31"/>
    </row>
    <row r="15" spans="1:14" s="25" customFormat="1">
      <c r="A15" s="30" t="s">
        <v>51</v>
      </c>
      <c r="B15" s="3"/>
      <c r="C15" s="22"/>
      <c r="D15" s="22"/>
      <c r="E15" s="3"/>
      <c r="F15" s="3"/>
      <c r="G15" s="31"/>
      <c r="H15" s="22"/>
      <c r="I15" s="22"/>
      <c r="J15" s="22"/>
      <c r="K15" s="35"/>
      <c r="L15" s="22"/>
      <c r="M15" s="3"/>
      <c r="N15" s="31"/>
    </row>
    <row r="16" spans="1:14" s="25" customFormat="1">
      <c r="A16" s="30" t="s">
        <v>52</v>
      </c>
      <c r="B16" s="3"/>
      <c r="C16" s="22"/>
      <c r="D16" s="22"/>
      <c r="E16" s="3"/>
      <c r="F16" s="3"/>
      <c r="G16" s="31"/>
      <c r="H16" s="22"/>
      <c r="I16" s="22"/>
      <c r="J16" s="22"/>
      <c r="K16" s="23"/>
      <c r="L16" s="22"/>
      <c r="M16" s="3"/>
      <c r="N16" s="31"/>
    </row>
    <row r="17" spans="1:14" s="25" customFormat="1">
      <c r="A17" s="30" t="s">
        <v>53</v>
      </c>
      <c r="B17" s="3"/>
      <c r="C17" s="22"/>
      <c r="D17" s="22"/>
      <c r="E17" s="3"/>
      <c r="F17" s="3"/>
      <c r="G17" s="31"/>
      <c r="H17" s="22"/>
      <c r="I17" s="22"/>
      <c r="J17" s="22"/>
      <c r="K17" s="23"/>
      <c r="L17" s="22"/>
      <c r="M17" s="3"/>
      <c r="N17" s="31"/>
    </row>
    <row r="18" spans="1:14" s="25" customFormat="1">
      <c r="A18" s="30" t="s">
        <v>54</v>
      </c>
      <c r="B18" s="3"/>
      <c r="C18" s="22"/>
      <c r="D18" s="22"/>
      <c r="E18" s="3"/>
      <c r="F18" s="3"/>
      <c r="G18" s="31"/>
      <c r="H18" s="22"/>
      <c r="I18" s="22"/>
      <c r="J18" s="22"/>
      <c r="K18" s="23"/>
      <c r="L18" s="22"/>
      <c r="M18" s="3"/>
      <c r="N18" s="31"/>
    </row>
    <row r="19" spans="1:14" s="25" customFormat="1">
      <c r="A19" s="30" t="s">
        <v>55</v>
      </c>
      <c r="B19" s="3">
        <v>9213725.4700000007</v>
      </c>
      <c r="C19" s="22">
        <v>0</v>
      </c>
      <c r="D19" s="22">
        <v>0</v>
      </c>
      <c r="E19" s="3">
        <v>0</v>
      </c>
      <c r="F19" s="3">
        <v>0</v>
      </c>
      <c r="G19" s="31">
        <f>SUM(B19:F19)</f>
        <v>9213725.4700000007</v>
      </c>
      <c r="H19" s="22">
        <v>47981.83</v>
      </c>
      <c r="I19" s="22">
        <v>0</v>
      </c>
      <c r="J19" s="22">
        <v>0</v>
      </c>
      <c r="K19" s="23">
        <v>0</v>
      </c>
      <c r="L19" s="22">
        <v>0</v>
      </c>
      <c r="M19" s="31">
        <f>SUM(H19:L19)</f>
        <v>47981.83</v>
      </c>
      <c r="N19" s="31">
        <f>M19-G19</f>
        <v>-9165743.6400000006</v>
      </c>
    </row>
    <row r="20" spans="1:14" s="25" customFormat="1">
      <c r="A20" s="30" t="s">
        <v>56</v>
      </c>
      <c r="B20" s="3">
        <v>5207098.51</v>
      </c>
      <c r="C20" s="22">
        <v>0</v>
      </c>
      <c r="D20" s="22">
        <v>0</v>
      </c>
      <c r="E20" s="3">
        <v>0</v>
      </c>
      <c r="F20" s="3">
        <v>0</v>
      </c>
      <c r="G20" s="31">
        <f>SUM(B20:F20)</f>
        <v>5207098.51</v>
      </c>
      <c r="H20" s="22">
        <v>121081.56</v>
      </c>
      <c r="I20" s="22">
        <v>0</v>
      </c>
      <c r="J20" s="22">
        <v>0</v>
      </c>
      <c r="K20" s="23">
        <v>0</v>
      </c>
      <c r="L20" s="22">
        <v>0</v>
      </c>
      <c r="M20" s="31">
        <f>SUM(H20:L20)</f>
        <v>121081.56</v>
      </c>
      <c r="N20" s="31">
        <f>M20-G20</f>
        <v>-5086016.95</v>
      </c>
    </row>
    <row r="21" spans="1:14" s="25" customFormat="1">
      <c r="A21" s="30" t="s">
        <v>57</v>
      </c>
      <c r="B21" s="3">
        <v>18379388.620000001</v>
      </c>
      <c r="C21" s="22">
        <v>0</v>
      </c>
      <c r="D21" s="22">
        <v>0</v>
      </c>
      <c r="E21" s="3">
        <v>0</v>
      </c>
      <c r="F21" s="3">
        <v>0</v>
      </c>
      <c r="G21" s="31">
        <f>SUM(B21:F21)</f>
        <v>18379388.620000001</v>
      </c>
      <c r="H21" s="22">
        <v>757996.43</v>
      </c>
      <c r="I21" s="22">
        <v>0</v>
      </c>
      <c r="J21" s="22">
        <v>0</v>
      </c>
      <c r="K21" s="23">
        <v>0</v>
      </c>
      <c r="L21" s="22">
        <v>0</v>
      </c>
      <c r="M21" s="31">
        <f>SUM(H21:L21)</f>
        <v>757996.43</v>
      </c>
      <c r="N21" s="31">
        <f>M21-G21</f>
        <v>-17621392.190000001</v>
      </c>
    </row>
    <row r="22" spans="1:14" s="25" customFormat="1">
      <c r="A22" s="30" t="s">
        <v>58</v>
      </c>
      <c r="B22" s="3">
        <v>5679541.2400000002</v>
      </c>
      <c r="C22" s="22">
        <v>0</v>
      </c>
      <c r="D22" s="22">
        <v>0</v>
      </c>
      <c r="E22" s="3">
        <v>0</v>
      </c>
      <c r="F22" s="3">
        <v>0</v>
      </c>
      <c r="G22" s="31">
        <f>SUM(B22:F22)</f>
        <v>5679541.2400000002</v>
      </c>
      <c r="H22" s="22">
        <v>20686.86</v>
      </c>
      <c r="I22" s="22">
        <v>0</v>
      </c>
      <c r="J22" s="22">
        <v>0</v>
      </c>
      <c r="K22" s="23">
        <v>0</v>
      </c>
      <c r="L22" s="22">
        <v>0</v>
      </c>
      <c r="M22" s="31">
        <f>SUM(H22:L22)</f>
        <v>20686.86</v>
      </c>
      <c r="N22" s="31">
        <f>M22-G22</f>
        <v>-5658854.3799999999</v>
      </c>
    </row>
    <row r="23" spans="1:14" s="25" customFormat="1">
      <c r="A23" s="32" t="s">
        <v>80</v>
      </c>
      <c r="B23" s="4">
        <v>17669259.34</v>
      </c>
      <c r="C23" s="27">
        <v>0</v>
      </c>
      <c r="D23" s="27">
        <v>0</v>
      </c>
      <c r="E23" s="4">
        <v>0</v>
      </c>
      <c r="F23" s="4">
        <v>0</v>
      </c>
      <c r="G23" s="31">
        <f>SUM(B23:F23)</f>
        <v>17669259.34</v>
      </c>
      <c r="H23" s="22">
        <v>1716871.39</v>
      </c>
      <c r="I23" s="22">
        <v>0</v>
      </c>
      <c r="J23" s="22">
        <v>0</v>
      </c>
      <c r="K23" s="23">
        <v>0</v>
      </c>
      <c r="L23" s="22">
        <v>0</v>
      </c>
      <c r="M23" s="4">
        <f>SUM(H23:L23)</f>
        <v>1716871.39</v>
      </c>
      <c r="N23" s="31">
        <f>M23-G23</f>
        <v>-15952387.949999999</v>
      </c>
    </row>
    <row r="24" spans="1:14" s="25" customFormat="1" ht="35.25" customHeight="1" thickBot="1">
      <c r="A24" s="34" t="s">
        <v>81</v>
      </c>
      <c r="B24" s="36">
        <f t="shared" ref="B24:M24" si="0">SUM(B14:B23)</f>
        <v>56149013.180000007</v>
      </c>
      <c r="C24" s="36">
        <f t="shared" si="0"/>
        <v>0</v>
      </c>
      <c r="D24" s="36">
        <f t="shared" si="0"/>
        <v>0</v>
      </c>
      <c r="E24" s="36">
        <f t="shared" si="0"/>
        <v>0</v>
      </c>
      <c r="F24" s="36">
        <f t="shared" si="0"/>
        <v>0</v>
      </c>
      <c r="G24" s="37">
        <f t="shared" si="0"/>
        <v>56149013.180000007</v>
      </c>
      <c r="H24" s="38">
        <f t="shared" si="0"/>
        <v>2664618.0699999998</v>
      </c>
      <c r="I24" s="38">
        <f t="shared" si="0"/>
        <v>0</v>
      </c>
      <c r="J24" s="38">
        <f t="shared" si="0"/>
        <v>0</v>
      </c>
      <c r="K24" s="38">
        <f t="shared" si="0"/>
        <v>0</v>
      </c>
      <c r="L24" s="38">
        <f t="shared" si="0"/>
        <v>0</v>
      </c>
      <c r="M24" s="39">
        <f t="shared" si="0"/>
        <v>2664618.0699999998</v>
      </c>
      <c r="N24" s="40">
        <f>IF(SUM(G24,M24),SUM(N14:N23),"faux")</f>
        <v>-53484395.109999999</v>
      </c>
    </row>
    <row r="25" spans="1:14" s="25" customFormat="1" ht="26.25" customHeight="1">
      <c r="A25" s="522" t="s">
        <v>49</v>
      </c>
      <c r="B25" s="410" t="s">
        <v>89</v>
      </c>
      <c r="C25" s="523"/>
      <c r="D25" s="523"/>
      <c r="E25" s="523"/>
      <c r="F25" s="523"/>
      <c r="G25" s="524"/>
      <c r="H25" s="413" t="s">
        <v>90</v>
      </c>
      <c r="I25" s="525"/>
      <c r="J25" s="525"/>
      <c r="K25" s="525"/>
      <c r="L25" s="525"/>
      <c r="M25" s="526"/>
      <c r="N25" s="527" t="s">
        <v>70</v>
      </c>
    </row>
    <row r="26" spans="1:14" s="25" customFormat="1">
      <c r="A26" s="439"/>
      <c r="B26" s="530" t="s">
        <v>1</v>
      </c>
      <c r="C26" s="531"/>
      <c r="D26" s="28" t="s">
        <v>59</v>
      </c>
      <c r="E26" s="5" t="s">
        <v>60</v>
      </c>
      <c r="F26" s="5"/>
      <c r="G26" s="535" t="s">
        <v>63</v>
      </c>
      <c r="H26" s="536" t="s">
        <v>1</v>
      </c>
      <c r="I26" s="537"/>
      <c r="J26" s="2" t="s">
        <v>59</v>
      </c>
      <c r="K26" s="5" t="s">
        <v>60</v>
      </c>
      <c r="L26" s="5"/>
      <c r="M26" s="538" t="s">
        <v>63</v>
      </c>
      <c r="N26" s="528"/>
    </row>
    <row r="27" spans="1:14" s="25" customFormat="1">
      <c r="A27" s="439"/>
      <c r="B27" s="532"/>
      <c r="C27" s="531"/>
      <c r="D27" s="8" t="s">
        <v>61</v>
      </c>
      <c r="E27" s="6" t="s">
        <v>62</v>
      </c>
      <c r="F27" s="7" t="s">
        <v>71</v>
      </c>
      <c r="G27" s="439"/>
      <c r="H27" s="532"/>
      <c r="I27" s="531"/>
      <c r="J27" s="8" t="s">
        <v>61</v>
      </c>
      <c r="K27" s="6" t="s">
        <v>62</v>
      </c>
      <c r="L27" s="7" t="s">
        <v>71</v>
      </c>
      <c r="M27" s="439"/>
      <c r="N27" s="528"/>
    </row>
    <row r="28" spans="1:14" s="25" customFormat="1" ht="24">
      <c r="A28" s="439"/>
      <c r="B28" s="533"/>
      <c r="C28" s="534"/>
      <c r="D28" s="8" t="s">
        <v>5</v>
      </c>
      <c r="E28" s="9" t="s">
        <v>64</v>
      </c>
      <c r="F28" s="10" t="s">
        <v>65</v>
      </c>
      <c r="G28" s="439"/>
      <c r="H28" s="533"/>
      <c r="I28" s="534"/>
      <c r="J28" s="8" t="s">
        <v>5</v>
      </c>
      <c r="K28" s="9" t="s">
        <v>64</v>
      </c>
      <c r="L28" s="10" t="s">
        <v>65</v>
      </c>
      <c r="M28" s="439"/>
      <c r="N28" s="528"/>
    </row>
    <row r="29" spans="1:14" s="25" customFormat="1">
      <c r="A29" s="440"/>
      <c r="B29" s="11" t="s">
        <v>3</v>
      </c>
      <c r="C29" s="11" t="s">
        <v>4</v>
      </c>
      <c r="D29" s="11" t="s">
        <v>3</v>
      </c>
      <c r="E29" s="12" t="s">
        <v>4</v>
      </c>
      <c r="F29" s="12" t="s">
        <v>4</v>
      </c>
      <c r="G29" s="440"/>
      <c r="H29" s="11" t="s">
        <v>3</v>
      </c>
      <c r="I29" s="11" t="s">
        <v>4</v>
      </c>
      <c r="J29" s="11" t="s">
        <v>3</v>
      </c>
      <c r="K29" s="12" t="s">
        <v>4</v>
      </c>
      <c r="L29" s="12" t="s">
        <v>4</v>
      </c>
      <c r="M29" s="440"/>
      <c r="N29" s="529"/>
    </row>
    <row r="30" spans="1:14" s="25" customFormat="1">
      <c r="A30" s="30" t="s">
        <v>50</v>
      </c>
      <c r="B30" s="22">
        <v>17883205.719999999</v>
      </c>
      <c r="C30" s="22">
        <v>0</v>
      </c>
      <c r="D30" s="22">
        <v>0</v>
      </c>
      <c r="E30" s="3">
        <v>0</v>
      </c>
      <c r="F30" s="3">
        <v>0</v>
      </c>
      <c r="G30" s="31">
        <f>SUM(B30:F30)</f>
        <v>17883205.719999999</v>
      </c>
      <c r="H30" s="22">
        <v>299982.34000000003</v>
      </c>
      <c r="I30" s="22">
        <v>0</v>
      </c>
      <c r="J30" s="22">
        <v>0</v>
      </c>
      <c r="K30" s="23">
        <v>0</v>
      </c>
      <c r="L30" s="22">
        <v>0</v>
      </c>
      <c r="M30" s="3">
        <f t="shared" ref="M30:M36" si="1">SUM(H30:L30)</f>
        <v>299982.34000000003</v>
      </c>
      <c r="N30" s="31">
        <f>M30-G30</f>
        <v>-17583223.379999999</v>
      </c>
    </row>
    <row r="31" spans="1:14" s="25" customFormat="1">
      <c r="A31" s="30" t="s">
        <v>51</v>
      </c>
      <c r="B31" s="22">
        <v>19658128.34</v>
      </c>
      <c r="C31" s="22">
        <v>0</v>
      </c>
      <c r="D31" s="22">
        <v>0</v>
      </c>
      <c r="E31" s="3">
        <v>0</v>
      </c>
      <c r="F31" s="3">
        <v>0</v>
      </c>
      <c r="G31" s="31">
        <f t="shared" ref="G31:G36" si="2">SUM(B31:F31)</f>
        <v>19658128.34</v>
      </c>
      <c r="H31" s="22">
        <f>957165.86/6.55957</f>
        <v>145918.99469020072</v>
      </c>
      <c r="I31" s="22">
        <v>0</v>
      </c>
      <c r="J31" s="22">
        <v>0</v>
      </c>
      <c r="K31" s="35">
        <v>0</v>
      </c>
      <c r="L31" s="22">
        <v>0</v>
      </c>
      <c r="M31" s="3">
        <f t="shared" si="1"/>
        <v>145918.99469020072</v>
      </c>
      <c r="N31" s="31">
        <f t="shared" ref="N31:N39" si="3">M31-G31</f>
        <v>-19512209.345309798</v>
      </c>
    </row>
    <row r="32" spans="1:14" s="25" customFormat="1">
      <c r="A32" s="30" t="s">
        <v>52</v>
      </c>
      <c r="B32" s="22">
        <f>144134394.03/6.55957</f>
        <v>21973146.719983172</v>
      </c>
      <c r="C32" s="22">
        <v>0</v>
      </c>
      <c r="D32" s="22">
        <v>0</v>
      </c>
      <c r="E32" s="3">
        <v>0</v>
      </c>
      <c r="F32" s="3">
        <v>0</v>
      </c>
      <c r="G32" s="31">
        <f t="shared" si="2"/>
        <v>21973146.719983172</v>
      </c>
      <c r="H32" s="22">
        <f>1599332.61/6.55957</f>
        <v>243816.68463024255</v>
      </c>
      <c r="I32" s="22">
        <v>0</v>
      </c>
      <c r="J32" s="22">
        <v>0</v>
      </c>
      <c r="K32" s="23">
        <v>0</v>
      </c>
      <c r="L32" s="22">
        <v>0</v>
      </c>
      <c r="M32" s="3">
        <f t="shared" si="1"/>
        <v>243816.68463024255</v>
      </c>
      <c r="N32" s="31">
        <f t="shared" si="3"/>
        <v>-21729330.03535293</v>
      </c>
    </row>
    <row r="33" spans="1:17" s="25" customFormat="1">
      <c r="A33" s="30" t="s">
        <v>53</v>
      </c>
      <c r="B33" s="3">
        <v>11178973.560000001</v>
      </c>
      <c r="C33" s="22">
        <v>0</v>
      </c>
      <c r="D33" s="22">
        <v>0</v>
      </c>
      <c r="E33" s="3">
        <v>0</v>
      </c>
      <c r="F33" s="3">
        <v>0</v>
      </c>
      <c r="G33" s="31">
        <f t="shared" si="2"/>
        <v>11178973.560000001</v>
      </c>
      <c r="H33" s="22">
        <v>505067.16</v>
      </c>
      <c r="I33" s="22">
        <v>0</v>
      </c>
      <c r="J33" s="22">
        <v>0</v>
      </c>
      <c r="K33" s="23">
        <v>0</v>
      </c>
      <c r="L33" s="22">
        <v>0</v>
      </c>
      <c r="M33" s="3">
        <f t="shared" si="1"/>
        <v>505067.16</v>
      </c>
      <c r="N33" s="31">
        <f t="shared" si="3"/>
        <v>-10673906.4</v>
      </c>
    </row>
    <row r="34" spans="1:17" s="25" customFormat="1">
      <c r="A34" s="30" t="s">
        <v>54</v>
      </c>
      <c r="B34" s="3">
        <v>38462260.380000003</v>
      </c>
      <c r="C34" s="22">
        <v>0</v>
      </c>
      <c r="D34" s="22">
        <v>0</v>
      </c>
      <c r="E34" s="3">
        <v>0</v>
      </c>
      <c r="F34" s="3">
        <v>0</v>
      </c>
      <c r="G34" s="31">
        <f t="shared" si="2"/>
        <v>38462260.380000003</v>
      </c>
      <c r="H34" s="22">
        <v>297746.12</v>
      </c>
      <c r="I34" s="22">
        <v>0</v>
      </c>
      <c r="J34" s="22">
        <v>0</v>
      </c>
      <c r="K34" s="23">
        <v>0</v>
      </c>
      <c r="L34" s="22">
        <v>0</v>
      </c>
      <c r="M34" s="3">
        <f t="shared" si="1"/>
        <v>297746.12</v>
      </c>
      <c r="N34" s="31">
        <f t="shared" si="3"/>
        <v>-38164514.260000005</v>
      </c>
    </row>
    <row r="35" spans="1:17" s="25" customFormat="1">
      <c r="A35" s="30" t="s">
        <v>55</v>
      </c>
      <c r="B35" s="3">
        <v>26716741.43</v>
      </c>
      <c r="C35" s="22">
        <v>0</v>
      </c>
      <c r="D35" s="22">
        <v>0</v>
      </c>
      <c r="E35" s="3">
        <v>0</v>
      </c>
      <c r="F35" s="3">
        <v>0</v>
      </c>
      <c r="G35" s="31">
        <f t="shared" si="2"/>
        <v>26716741.43</v>
      </c>
      <c r="H35" s="22">
        <v>169334.81</v>
      </c>
      <c r="I35" s="22">
        <v>0</v>
      </c>
      <c r="J35" s="22">
        <v>0</v>
      </c>
      <c r="K35" s="23">
        <v>0</v>
      </c>
      <c r="L35" s="22">
        <v>0</v>
      </c>
      <c r="M35" s="3">
        <f t="shared" si="1"/>
        <v>169334.81</v>
      </c>
      <c r="N35" s="31">
        <f t="shared" si="3"/>
        <v>-26547406.620000001</v>
      </c>
    </row>
    <row r="36" spans="1:17" s="25" customFormat="1">
      <c r="A36" s="30" t="s">
        <v>56</v>
      </c>
      <c r="B36" s="3">
        <v>34655544.950000003</v>
      </c>
      <c r="C36" s="22">
        <v>0</v>
      </c>
      <c r="D36" s="22">
        <v>0</v>
      </c>
      <c r="E36" s="3">
        <v>0</v>
      </c>
      <c r="F36" s="3">
        <v>0</v>
      </c>
      <c r="G36" s="31">
        <f t="shared" si="2"/>
        <v>34655544.950000003</v>
      </c>
      <c r="H36" s="22">
        <v>426871.41</v>
      </c>
      <c r="I36" s="22">
        <v>0</v>
      </c>
      <c r="J36" s="22">
        <v>0</v>
      </c>
      <c r="K36" s="23">
        <v>0</v>
      </c>
      <c r="L36" s="22">
        <v>0</v>
      </c>
      <c r="M36" s="3">
        <f t="shared" si="1"/>
        <v>426871.41</v>
      </c>
      <c r="N36" s="31">
        <f t="shared" si="3"/>
        <v>-34228673.540000007</v>
      </c>
    </row>
    <row r="37" spans="1:17" s="25" customFormat="1">
      <c r="A37" s="30" t="s">
        <v>57</v>
      </c>
      <c r="B37" s="3">
        <v>32031868.57</v>
      </c>
      <c r="C37" s="22">
        <v>0</v>
      </c>
      <c r="D37" s="22">
        <v>0</v>
      </c>
      <c r="E37" s="3">
        <v>0</v>
      </c>
      <c r="F37" s="3">
        <v>0</v>
      </c>
      <c r="G37" s="31">
        <f>SUM(B37:F37)</f>
        <v>32031868.57</v>
      </c>
      <c r="H37" s="22">
        <v>370132.27</v>
      </c>
      <c r="I37" s="22">
        <v>0</v>
      </c>
      <c r="J37" s="22">
        <v>0</v>
      </c>
      <c r="K37" s="23">
        <v>0</v>
      </c>
      <c r="L37" s="22">
        <v>0</v>
      </c>
      <c r="M37" s="3">
        <f>SUM(H37:L37)</f>
        <v>370132.27</v>
      </c>
      <c r="N37" s="31">
        <f t="shared" si="3"/>
        <v>-31661736.300000001</v>
      </c>
    </row>
    <row r="38" spans="1:17" s="25" customFormat="1">
      <c r="A38" s="30" t="s">
        <v>58</v>
      </c>
      <c r="B38" s="3">
        <v>31858670.100000001</v>
      </c>
      <c r="C38" s="22">
        <v>0</v>
      </c>
      <c r="D38" s="22">
        <v>0</v>
      </c>
      <c r="E38" s="3">
        <v>0</v>
      </c>
      <c r="F38" s="3">
        <v>0</v>
      </c>
      <c r="G38" s="31">
        <f>SUM(B38:F38)</f>
        <v>31858670.100000001</v>
      </c>
      <c r="H38" s="22">
        <v>150527.42000000001</v>
      </c>
      <c r="I38" s="22">
        <v>0</v>
      </c>
      <c r="J38" s="22">
        <v>0</v>
      </c>
      <c r="K38" s="23">
        <v>0</v>
      </c>
      <c r="L38" s="22">
        <v>0</v>
      </c>
      <c r="M38" s="3">
        <f>SUM(H38:L38)</f>
        <v>150527.42000000001</v>
      </c>
      <c r="N38" s="31">
        <f t="shared" si="3"/>
        <v>-31708142.68</v>
      </c>
    </row>
    <row r="39" spans="1:17" s="25" customFormat="1">
      <c r="A39" s="32" t="s">
        <v>80</v>
      </c>
      <c r="B39" s="4">
        <v>38345612.149999999</v>
      </c>
      <c r="C39" s="27">
        <v>0</v>
      </c>
      <c r="D39" s="27">
        <v>0</v>
      </c>
      <c r="E39" s="4">
        <v>0</v>
      </c>
      <c r="F39" s="4">
        <v>0</v>
      </c>
      <c r="G39" s="33">
        <f>SUM(B39:F39)</f>
        <v>38345612.149999999</v>
      </c>
      <c r="H39" s="22">
        <v>493890.1</v>
      </c>
      <c r="I39" s="22">
        <v>0</v>
      </c>
      <c r="J39" s="22">
        <v>0</v>
      </c>
      <c r="K39" s="23">
        <v>0</v>
      </c>
      <c r="L39" s="22">
        <v>0</v>
      </c>
      <c r="M39" s="4">
        <f>SUM(H39:L39)</f>
        <v>493890.1</v>
      </c>
      <c r="N39" s="31">
        <f t="shared" si="3"/>
        <v>-37851722.049999997</v>
      </c>
    </row>
    <row r="40" spans="1:17" s="25" customFormat="1" ht="35.25" customHeight="1">
      <c r="A40" s="34" t="s">
        <v>81</v>
      </c>
      <c r="B40" s="36">
        <f t="shared" ref="B40:M40" si="4">SUM(B30:B39)</f>
        <v>272764151.91998321</v>
      </c>
      <c r="C40" s="36">
        <f t="shared" si="4"/>
        <v>0</v>
      </c>
      <c r="D40" s="36">
        <f t="shared" si="4"/>
        <v>0</v>
      </c>
      <c r="E40" s="36">
        <f t="shared" si="4"/>
        <v>0</v>
      </c>
      <c r="F40" s="36">
        <f t="shared" si="4"/>
        <v>0</v>
      </c>
      <c r="G40" s="37">
        <f t="shared" si="4"/>
        <v>272764151.91998321</v>
      </c>
      <c r="H40" s="38">
        <f t="shared" si="4"/>
        <v>3103287.3093204428</v>
      </c>
      <c r="I40" s="38">
        <f t="shared" si="4"/>
        <v>0</v>
      </c>
      <c r="J40" s="38">
        <f t="shared" si="4"/>
        <v>0</v>
      </c>
      <c r="K40" s="38">
        <f t="shared" si="4"/>
        <v>0</v>
      </c>
      <c r="L40" s="38">
        <f t="shared" si="4"/>
        <v>0</v>
      </c>
      <c r="M40" s="39">
        <f t="shared" si="4"/>
        <v>3103287.3093204428</v>
      </c>
      <c r="N40" s="40">
        <f>IF(SUM(G40,M40),SUM(N30:N39),"faux")</f>
        <v>-269660864.61066276</v>
      </c>
    </row>
    <row r="45" spans="1:17">
      <c r="A45" s="13" t="s">
        <v>109</v>
      </c>
      <c r="J45" s="13" t="s">
        <v>110</v>
      </c>
    </row>
    <row r="46" spans="1:17">
      <c r="C46" s="49" t="s">
        <v>111</v>
      </c>
      <c r="G46" s="13" t="s">
        <v>179</v>
      </c>
      <c r="H46" s="13" t="s">
        <v>180</v>
      </c>
      <c r="L46" s="49" t="s">
        <v>111</v>
      </c>
      <c r="P46" s="13" t="s">
        <v>179</v>
      </c>
      <c r="Q46" s="13" t="s">
        <v>180</v>
      </c>
    </row>
    <row r="47" spans="1:17" ht="13.5" customHeight="1">
      <c r="E47" s="13" t="str">
        <f>INDEX($A$48:$C$78,MATCH(1,$C$48:$C$78,0),1)</f>
        <v>Luxembourg</v>
      </c>
      <c r="F47" s="49">
        <f>INDEX($A$48:$C$78,MATCH(1,$C$48:$C$78,0),2)</f>
        <v>268753265.72572899</v>
      </c>
      <c r="G47" s="49">
        <f>IF($F47&gt;0,F47,NA())</f>
        <v>268753265.72572899</v>
      </c>
      <c r="H47" s="49" t="e">
        <f>IF($F47&lt;=0,F47,NA())</f>
        <v>#N/A</v>
      </c>
      <c r="J47" s="205" t="s">
        <v>76</v>
      </c>
      <c r="K47" s="112">
        <f>'CNSE-par pays(Hors EEE)'!O17</f>
        <v>402096.83999999997</v>
      </c>
      <c r="L47" s="131">
        <f t="shared" ref="L47:L59" si="5">RANK(K47,$K$47:$K$59,0)</f>
        <v>2</v>
      </c>
      <c r="N47" s="13" t="str">
        <f>INDEX($J$47:$L$59,MATCH(LARGE($L$47:$L$59,1),$L$47:$L$59,0),1)</f>
        <v xml:space="preserve">Polynésie française </v>
      </c>
      <c r="O47" s="49">
        <f>INDEX($J$47:$L$59,MATCH(LARGE($L$47:$L$59,1),$L$47:$L$59,0),2)</f>
        <v>-61403566.337475367</v>
      </c>
      <c r="P47" s="49" t="e">
        <f>IF($O47&gt;0,$O47,NA())</f>
        <v>#N/A</v>
      </c>
      <c r="Q47" s="49">
        <f>IF($O47&lt;=0,$O47,NA())</f>
        <v>-61403566.337475367</v>
      </c>
    </row>
    <row r="48" spans="1:17" ht="13.5" customHeight="1">
      <c r="A48" s="18" t="s">
        <v>6</v>
      </c>
      <c r="B48" s="53">
        <f>'CNSE - par pays(E.E.E)'!O7</f>
        <v>79383719.611513659</v>
      </c>
      <c r="C48" s="131">
        <f>RANK(B48,$B$48:$B$78,0)</f>
        <v>4</v>
      </c>
      <c r="D48" s="110"/>
      <c r="E48" s="13" t="str">
        <f>INDEX($A$48:$C$78,MATCH(2,$C$48:$C$78,0),1)</f>
        <v>Royaume-Uni</v>
      </c>
      <c r="F48" s="49">
        <f>INDEX($A$48:$C$78,MATCH(2,$C$48:$C$78,0),2)</f>
        <v>254386912.90016139</v>
      </c>
      <c r="G48" s="49">
        <f t="shared" ref="G48:G55" si="6">IF($F48&gt;0,F48,NA())</f>
        <v>254386912.90016139</v>
      </c>
      <c r="H48" s="49" t="e">
        <f t="shared" ref="H48:H55" si="7">IF($F48&lt;=0,F48,NA())</f>
        <v>#N/A</v>
      </c>
      <c r="J48" s="206" t="s">
        <v>44</v>
      </c>
      <c r="K48" s="114">
        <f>'CNSE-par pays(Hors EEE)'!O20</f>
        <v>11813.87</v>
      </c>
      <c r="L48" s="131">
        <f t="shared" si="5"/>
        <v>5</v>
      </c>
      <c r="N48" s="13" t="str">
        <f>INDEX($J$47:$L$59,MATCH(LARGE($L$47:$L$59,2),$L$47:$L$59,0),1)</f>
        <v xml:space="preserve">Algérie </v>
      </c>
      <c r="O48" s="49">
        <f>INDEX($J$47:$L$59,MATCH(LARGE($L$47:$L$59,2),$L$47:$L$59,0),2)</f>
        <v>-48089310.995751292</v>
      </c>
      <c r="P48" s="49" t="e">
        <f>IF($O48&gt;0,$O48,NA())</f>
        <v>#N/A</v>
      </c>
      <c r="Q48" s="49">
        <f>IF($O48&lt;=0,$O48,NA())</f>
        <v>-48089310.995751292</v>
      </c>
    </row>
    <row r="49" spans="1:17" ht="13.5" customHeight="1">
      <c r="A49" s="51" t="s">
        <v>7</v>
      </c>
      <c r="B49" s="53">
        <f>'CNSE - par pays(E.E.E)'!O8</f>
        <v>-2154753.3800000004</v>
      </c>
      <c r="C49" s="131">
        <f>RANK(B49,$B$48:$B$78,0)</f>
        <v>27</v>
      </c>
      <c r="D49" s="266"/>
      <c r="E49" s="13" t="str">
        <f>INDEX($A$48:$C$78,MATCH(3,$C$48:$C$78,0),1)</f>
        <v>Belgique</v>
      </c>
      <c r="F49" s="49">
        <f>INDEX($A$48:$C$78,MATCH(3,$C$48:$C$78,0),2)</f>
        <v>93343091.153999984</v>
      </c>
      <c r="G49" s="49">
        <f t="shared" si="6"/>
        <v>93343091.153999984</v>
      </c>
      <c r="H49" s="49" t="e">
        <f t="shared" si="7"/>
        <v>#N/A</v>
      </c>
      <c r="J49" s="206" t="s">
        <v>73</v>
      </c>
      <c r="K49" s="114">
        <f>'CNSE-par pays(Hors EEE)'!O11</f>
        <v>1971083.1199999992</v>
      </c>
      <c r="L49" s="131">
        <f t="shared" si="5"/>
        <v>1</v>
      </c>
      <c r="N49" s="13" t="str">
        <f>INDEX($J$47:$L$59,MATCH(LARGE($L$47:$L$59,3),$L$47:$L$59,0),1)</f>
        <v xml:space="preserve">Tunisie </v>
      </c>
      <c r="O49" s="49">
        <f>INDEX($J$47:$L$59,MATCH(LARGE($L$47:$L$59,3),$L$47:$L$59,0),2)</f>
        <v>-18937140.949368659</v>
      </c>
      <c r="P49" s="49" t="e">
        <f>IF($O49&gt;0,$O49,NA())</f>
        <v>#N/A</v>
      </c>
      <c r="Q49" s="49">
        <f>IF($O49&lt;=0,$O49,NA())</f>
        <v>-18937140.949368659</v>
      </c>
    </row>
    <row r="50" spans="1:17" ht="13.5" customHeight="1">
      <c r="A50" s="18" t="s">
        <v>9</v>
      </c>
      <c r="B50" s="53">
        <f>'CNSE - par pays(E.E.E)'!O9</f>
        <v>93343091.153999984</v>
      </c>
      <c r="C50" s="131">
        <f>RANK(B50,$B$48:$B$78,0)</f>
        <v>3</v>
      </c>
      <c r="D50" s="110"/>
      <c r="E50" s="13" t="str">
        <f>INDEX($A$48:$C$78,MATCH(4,$C$48:$C$78,0),1)</f>
        <v>Allemagne</v>
      </c>
      <c r="F50" s="49">
        <f>INDEX($A$48:$C$78,MATCH(4,$C$48:$C$78,0),2)</f>
        <v>79383719.611513659</v>
      </c>
      <c r="G50" s="49">
        <f t="shared" si="6"/>
        <v>79383719.611513659</v>
      </c>
      <c r="H50" s="49" t="e">
        <f t="shared" si="7"/>
        <v>#N/A</v>
      </c>
      <c r="J50" s="206" t="s">
        <v>6</v>
      </c>
      <c r="K50" s="114">
        <f>'CNSE-par pays(Hors EEE)'!O10</f>
        <v>1279.5700000000002</v>
      </c>
      <c r="L50" s="131">
        <f t="shared" si="5"/>
        <v>6</v>
      </c>
      <c r="N50" s="13" t="str">
        <f>INDEX($J$47:$L$59,MATCH(LARGE($L$47:$L$59,4),$L$47:$L$59,0),1)</f>
        <v xml:space="preserve">Nouvelle Calédonie </v>
      </c>
      <c r="O50" s="49">
        <f>INDEX($J$47:$L$59,MATCH(LARGE($L$47:$L$59,4),$L$47:$L$59,0),2)</f>
        <v>-12282885.54002</v>
      </c>
      <c r="P50" s="49" t="e">
        <f>IF($O50&gt;0,$O50,NA())</f>
        <v>#N/A</v>
      </c>
      <c r="Q50" s="49">
        <f>IF($O50&lt;=0,$O50,NA())</f>
        <v>-12282885.54002</v>
      </c>
    </row>
    <row r="51" spans="1:17" ht="13.5" customHeight="1">
      <c r="A51" s="43" t="s">
        <v>78</v>
      </c>
      <c r="B51" s="53">
        <f>'CNSE - par pays(E.E.E)'!O10</f>
        <v>2066960.5600044192</v>
      </c>
      <c r="C51" s="131">
        <f>RANK(B51,$B$48:$B$78,0)</f>
        <v>13</v>
      </c>
      <c r="D51" s="266"/>
      <c r="E51" s="13" t="str">
        <f>INDEX($A$48:$C$78,MATCH(5,$C$48:$C$78,0),1)</f>
        <v>Italie</v>
      </c>
      <c r="F51" s="49">
        <f>INDEX($A$48:$C$78,MATCH(5,$C$48:$C$78,0),2)</f>
        <v>56347042.413173959</v>
      </c>
      <c r="G51" s="49">
        <f>IF($F51&gt;0,F51,NA())</f>
        <v>56347042.413173959</v>
      </c>
      <c r="H51" s="49" t="e">
        <f t="shared" si="7"/>
        <v>#N/A</v>
      </c>
      <c r="J51" s="206" t="s">
        <v>106</v>
      </c>
      <c r="K51" s="114">
        <f>'CNSE-par pays(Hors EEE)'!O14</f>
        <v>-101303.27575690583</v>
      </c>
      <c r="L51" s="131">
        <f t="shared" si="5"/>
        <v>7</v>
      </c>
      <c r="N51" s="13" t="str">
        <f>INDEX($J$47:$L$59,MATCH(LARGE($L$47:$L$59,5),$L$47:$L$59,0),1)</f>
        <v>Maroc</v>
      </c>
      <c r="O51" s="49">
        <f>INDEX($J$47:$L$59,MATCH(LARGE($L$47:$L$59,5),$L$47:$L$59,0),2)</f>
        <v>-4807359.0896728672</v>
      </c>
      <c r="P51" s="49" t="e">
        <f>IF($O51&gt;0,$O51,NA())</f>
        <v>#N/A</v>
      </c>
      <c r="Q51" s="49">
        <f>IF($O51&lt;=0,$O51,NA())</f>
        <v>-4807359.0896728672</v>
      </c>
    </row>
    <row r="52" spans="1:17" ht="13.5" customHeight="1">
      <c r="A52" s="18" t="s">
        <v>47</v>
      </c>
      <c r="B52" s="53">
        <f>'CNSE - par pays(E.E.E)'!O11</f>
        <v>62744.14</v>
      </c>
      <c r="C52" s="131">
        <f>RANK(B52,$B$48:$B$78,0)</f>
        <v>23</v>
      </c>
      <c r="D52" s="110"/>
      <c r="E52" s="13" t="str">
        <f>INDEX($A$48:$C$78,MATCH(6,$C$48:$C$78,0),1)</f>
        <v>Pays-Bas</v>
      </c>
      <c r="F52" s="49">
        <f>INDEX($A$48:$C$78,MATCH(6,$C$48:$C$78,0),2)</f>
        <v>54915707.023984</v>
      </c>
      <c r="G52" s="49">
        <f t="shared" si="6"/>
        <v>54915707.023984</v>
      </c>
      <c r="H52" s="49" t="e">
        <f t="shared" si="7"/>
        <v>#N/A</v>
      </c>
      <c r="J52" s="206" t="s">
        <v>75</v>
      </c>
      <c r="K52" s="114">
        <f>'CNSE-par pays(Hors EEE)'!O15</f>
        <v>-4807359.0896728672</v>
      </c>
      <c r="L52" s="131">
        <f t="shared" si="5"/>
        <v>9</v>
      </c>
    </row>
    <row r="53" spans="1:17" ht="13.5" customHeight="1">
      <c r="A53" s="18" t="s">
        <v>74</v>
      </c>
      <c r="B53" s="53">
        <f>'CNSE - par pays(E.E.E)'!O12</f>
        <v>-72699.751586179598</v>
      </c>
      <c r="C53" s="131">
        <v>-27.31</v>
      </c>
      <c r="D53" s="110"/>
      <c r="E53" s="13" t="str">
        <f>INDEX($A$48:$C$78,MATCH(LARGE($C$48:$C$78,3),$C$48:$C$78,0),1)</f>
        <v>Liechtenstein</v>
      </c>
      <c r="F53" s="49">
        <f>INDEX($A$48:$C$78,MATCH(LARGE($C$48:$C$78,3),$C$48:$C$78,0),2)</f>
        <v>-11012429.469999999</v>
      </c>
      <c r="G53" s="49" t="e">
        <f t="shared" si="6"/>
        <v>#N/A</v>
      </c>
      <c r="H53" s="49">
        <f t="shared" si="7"/>
        <v>-11012429.469999999</v>
      </c>
      <c r="J53" s="206" t="s">
        <v>26</v>
      </c>
      <c r="K53" s="114">
        <f>'CNSE-par pays(Hors EEE)'!O13</f>
        <v>20029.510000000002</v>
      </c>
      <c r="L53" s="131">
        <f t="shared" si="5"/>
        <v>4</v>
      </c>
    </row>
    <row r="54" spans="1:17" ht="13.5" customHeight="1">
      <c r="A54" s="43" t="s">
        <v>66</v>
      </c>
      <c r="B54" s="53">
        <f>'CNSE - par pays(E.E.E)'!O13</f>
        <v>5880849.7400348121</v>
      </c>
      <c r="C54" s="131">
        <f t="shared" ref="C54:C78" si="8">RANK(B54,$B$48:$B$78,0)</f>
        <v>10</v>
      </c>
      <c r="D54" s="266"/>
      <c r="E54" s="13" t="str">
        <f>INDEX($A$48:$C$78,MATCH(LARGE($C$48:$C$78,2),$C$48:$C$78,0),1)</f>
        <v>Norvège</v>
      </c>
      <c r="F54" s="49">
        <f>INDEX($A$48:$C$78,MATCH(LARGE($C$48:$C$78,2),$C$48:$C$78,0),2)</f>
        <v>-23071365.455582839</v>
      </c>
      <c r="G54" s="49" t="e">
        <f t="shared" si="6"/>
        <v>#N/A</v>
      </c>
      <c r="H54" s="49">
        <f t="shared" si="7"/>
        <v>-23071365.455582839</v>
      </c>
      <c r="J54" s="206" t="s">
        <v>77</v>
      </c>
      <c r="K54" s="114">
        <f>'CNSE-par pays(Hors EEE)'!O22</f>
        <v>264247.38</v>
      </c>
      <c r="L54" s="131">
        <f t="shared" si="5"/>
        <v>3</v>
      </c>
    </row>
    <row r="55" spans="1:17" ht="13.5" customHeight="1">
      <c r="A55" s="43" t="s">
        <v>11</v>
      </c>
      <c r="B55" s="53">
        <f>'CNSE - par pays(E.E.E)'!O14</f>
        <v>-27496931.949999988</v>
      </c>
      <c r="C55" s="131">
        <f t="shared" si="8"/>
        <v>31</v>
      </c>
      <c r="D55" s="266"/>
      <c r="E55" s="13" t="str">
        <f>INDEX($A$48:$C$78,MATCH(LARGE($C$48:$C$78,1),$C$48:$C$78,0),1)</f>
        <v>Espagne</v>
      </c>
      <c r="F55" s="49">
        <f>INDEX($A$48:$C$78,MATCH(LARGE($C$48:$C$78,1),$C$48:$C$78,0),2)</f>
        <v>-27496931.949999988</v>
      </c>
      <c r="G55" s="49" t="e">
        <f t="shared" si="6"/>
        <v>#N/A</v>
      </c>
      <c r="H55" s="49">
        <f t="shared" si="7"/>
        <v>-27496931.949999988</v>
      </c>
      <c r="J55" s="205" t="s">
        <v>156</v>
      </c>
      <c r="K55" s="114">
        <f>'CNSE-par pays(Hors EEE)'!O19</f>
        <v>-136740.96</v>
      </c>
      <c r="L55" s="131">
        <f t="shared" si="5"/>
        <v>8</v>
      </c>
    </row>
    <row r="56" spans="1:17" ht="13.5" customHeight="1">
      <c r="A56" s="43" t="s">
        <v>13</v>
      </c>
      <c r="B56" s="53">
        <f>'CNSE - par pays(E.E.E)'!O15</f>
        <v>503386.95</v>
      </c>
      <c r="C56" s="131">
        <f t="shared" si="8"/>
        <v>20</v>
      </c>
      <c r="D56" s="266"/>
      <c r="J56" s="205" t="s">
        <v>97</v>
      </c>
      <c r="K56" s="114">
        <f>'CNSE-par pays(Hors EEE)'!O21</f>
        <v>-18937140.949368659</v>
      </c>
      <c r="L56" s="131">
        <f t="shared" si="5"/>
        <v>11</v>
      </c>
    </row>
    <row r="57" spans="1:17" ht="13.5" customHeight="1" thickBot="1">
      <c r="A57" s="43" t="s">
        <v>15</v>
      </c>
      <c r="B57" s="53">
        <f>'CNSE - par pays(E.E.E)'!O16</f>
        <v>975605.25000000012</v>
      </c>
      <c r="C57" s="131">
        <f t="shared" si="8"/>
        <v>18</v>
      </c>
      <c r="D57" s="266"/>
      <c r="J57" s="205" t="s">
        <v>99</v>
      </c>
      <c r="K57" s="116">
        <f>'CNSE-par pays(Hors EEE)'!O9</f>
        <v>-48089310.995751292</v>
      </c>
      <c r="L57" s="131">
        <f t="shared" si="5"/>
        <v>12</v>
      </c>
    </row>
    <row r="58" spans="1:17" ht="13.5" customHeight="1">
      <c r="A58" s="43" t="s">
        <v>17</v>
      </c>
      <c r="B58" s="53">
        <f>'CNSE - par pays(E.E.E)'!O17</f>
        <v>1840672.8099999996</v>
      </c>
      <c r="C58" s="131">
        <f t="shared" si="8"/>
        <v>14</v>
      </c>
      <c r="D58" s="266"/>
      <c r="J58" s="203" t="s">
        <v>98</v>
      </c>
      <c r="K58" s="123">
        <f>'CNSE-par pays(Hors EEE)'!O25</f>
        <v>-12282885.54002</v>
      </c>
      <c r="L58" s="131">
        <f t="shared" si="5"/>
        <v>10</v>
      </c>
    </row>
    <row r="59" spans="1:17" ht="13.5" customHeight="1">
      <c r="A59" s="43" t="s">
        <v>18</v>
      </c>
      <c r="B59" s="53">
        <f>'CNSE - par pays(E.E.E)'!O18</f>
        <v>1257277.3107066273</v>
      </c>
      <c r="C59" s="131">
        <f t="shared" si="8"/>
        <v>15</v>
      </c>
      <c r="D59" s="266"/>
      <c r="J59" s="204" t="s">
        <v>100</v>
      </c>
      <c r="K59" s="124">
        <f>'CNSE-par pays(Hors EEE)'!O26</f>
        <v>-61403566.337475367</v>
      </c>
      <c r="L59" s="131">
        <f t="shared" si="5"/>
        <v>13</v>
      </c>
    </row>
    <row r="60" spans="1:17" ht="13.5" customHeight="1">
      <c r="A60" s="43" t="s">
        <v>67</v>
      </c>
      <c r="B60" s="53">
        <v>1179439.99</v>
      </c>
      <c r="C60" s="131">
        <f t="shared" si="8"/>
        <v>17</v>
      </c>
      <c r="D60" s="266"/>
    </row>
    <row r="61" spans="1:17" ht="13.5" customHeight="1">
      <c r="A61" s="43" t="s">
        <v>20</v>
      </c>
      <c r="B61" s="53">
        <f>'CNSE - par pays(E.E.E)'!O20</f>
        <v>-9773651.5931739584</v>
      </c>
      <c r="C61" s="131">
        <f t="shared" si="8"/>
        <v>28</v>
      </c>
      <c r="D61" s="266"/>
      <c r="K61" s="327">
        <f>SUM(K47:K59)</f>
        <v>-143087756.8580451</v>
      </c>
    </row>
    <row r="62" spans="1:17" ht="13.5" customHeight="1">
      <c r="A62" s="43" t="s">
        <v>22</v>
      </c>
      <c r="B62" s="53">
        <f>'CNSE - par pays(E.E.E)'!O21</f>
        <v>56347042.413173959</v>
      </c>
      <c r="C62" s="131">
        <f t="shared" si="8"/>
        <v>5</v>
      </c>
      <c r="D62" s="266"/>
      <c r="K62" s="246"/>
    </row>
    <row r="63" spans="1:17" ht="13.5" customHeight="1">
      <c r="A63" s="43" t="s">
        <v>68</v>
      </c>
      <c r="B63" s="53">
        <f>'CNSE - par pays(E.E.E)'!O22</f>
        <v>600147.67935057008</v>
      </c>
      <c r="C63" s="131">
        <f t="shared" si="8"/>
        <v>19</v>
      </c>
      <c r="D63" s="266"/>
      <c r="K63" s="246"/>
    </row>
    <row r="64" spans="1:17" ht="13.5" customHeight="1">
      <c r="A64" s="43" t="s">
        <v>177</v>
      </c>
      <c r="B64" s="53">
        <f>'CNSE - par pays(E.E.E)'!O23</f>
        <v>-11012429.469999999</v>
      </c>
      <c r="C64" s="131">
        <f t="shared" si="8"/>
        <v>29</v>
      </c>
      <c r="D64" s="267"/>
    </row>
    <row r="65" spans="1:7" ht="13.5" customHeight="1">
      <c r="A65" s="43" t="s">
        <v>24</v>
      </c>
      <c r="B65" s="53">
        <f>'CNSE - par pays(E.E.E)'!O24</f>
        <v>1210866.79</v>
      </c>
      <c r="C65" s="131">
        <f t="shared" si="8"/>
        <v>16</v>
      </c>
      <c r="D65" s="266"/>
    </row>
    <row r="66" spans="1:7" ht="13.5" customHeight="1">
      <c r="A66" s="19" t="s">
        <v>26</v>
      </c>
      <c r="B66" s="53">
        <f>'CNSE - par pays(E.E.E)'!O25</f>
        <v>268753265.72572899</v>
      </c>
      <c r="C66" s="131">
        <f t="shared" si="8"/>
        <v>1</v>
      </c>
      <c r="D66" s="266"/>
    </row>
    <row r="67" spans="1:7" ht="13.5" customHeight="1">
      <c r="A67" s="43" t="s">
        <v>28</v>
      </c>
      <c r="B67" s="53">
        <f>'CNSE - par pays(E.E.E)'!O26</f>
        <v>-870326.8790979191</v>
      </c>
      <c r="C67" s="131">
        <f t="shared" si="8"/>
        <v>25</v>
      </c>
      <c r="D67" s="266"/>
    </row>
    <row r="68" spans="1:7" ht="13.5" customHeight="1">
      <c r="A68" s="43" t="s">
        <v>45</v>
      </c>
      <c r="B68" s="53">
        <f>'CNSE - par pays(E.E.E)'!O27</f>
        <v>-23071365.455582839</v>
      </c>
      <c r="C68" s="131">
        <f t="shared" si="8"/>
        <v>30</v>
      </c>
      <c r="D68" s="266"/>
    </row>
    <row r="69" spans="1:7" ht="13.5" customHeight="1">
      <c r="A69" s="43" t="s">
        <v>30</v>
      </c>
      <c r="B69" s="53">
        <f>'CNSE - par pays(E.E.E)'!O28</f>
        <v>54915707.023984</v>
      </c>
      <c r="C69" s="131">
        <f t="shared" si="8"/>
        <v>6</v>
      </c>
      <c r="D69" s="266"/>
    </row>
    <row r="70" spans="1:7" ht="13.5" customHeight="1">
      <c r="A70" s="43" t="s">
        <v>31</v>
      </c>
      <c r="B70" s="53">
        <f>'CNSE - par pays(E.E.E)'!O29</f>
        <v>9040927.2138524819</v>
      </c>
      <c r="C70" s="131">
        <f t="shared" si="8"/>
        <v>9</v>
      </c>
      <c r="D70" s="267"/>
    </row>
    <row r="71" spans="1:7" ht="13.5" customHeight="1">
      <c r="A71" s="43" t="s">
        <v>33</v>
      </c>
      <c r="B71" s="53">
        <f>'CNSE - par pays(E.E.E)'!O30</f>
        <v>-923943.00000125414</v>
      </c>
      <c r="C71" s="131">
        <f t="shared" si="8"/>
        <v>26</v>
      </c>
      <c r="D71" s="267"/>
      <c r="G71" s="49"/>
    </row>
    <row r="72" spans="1:7" ht="13.5" customHeight="1">
      <c r="A72" s="19" t="s">
        <v>35</v>
      </c>
      <c r="B72" s="53">
        <f>'CNSE - par pays(E.E.E)'!O31</f>
        <v>2184778.0900000008</v>
      </c>
      <c r="C72" s="131">
        <f t="shared" si="8"/>
        <v>12</v>
      </c>
      <c r="D72" s="266"/>
      <c r="G72" s="49"/>
    </row>
    <row r="73" spans="1:7" ht="13.5" customHeight="1">
      <c r="A73" s="19" t="s">
        <v>107</v>
      </c>
      <c r="B73" s="53">
        <f>'CNSE - par pays(E.E.E)'!O32</f>
        <v>12144162.35</v>
      </c>
      <c r="C73" s="131">
        <f t="shared" si="8"/>
        <v>7</v>
      </c>
      <c r="D73" s="266"/>
      <c r="G73" s="49"/>
    </row>
    <row r="74" spans="1:7" ht="13.5" customHeight="1">
      <c r="A74" s="43" t="s">
        <v>37</v>
      </c>
      <c r="B74" s="53">
        <f>'CNSE - par pays(E.E.E)'!O33</f>
        <v>254386912.90016139</v>
      </c>
      <c r="C74" s="131">
        <f t="shared" si="8"/>
        <v>2</v>
      </c>
      <c r="D74" s="266"/>
    </row>
    <row r="75" spans="1:7" ht="13.5" customHeight="1">
      <c r="A75" s="43" t="s">
        <v>39</v>
      </c>
      <c r="B75" s="53">
        <f>'CNSE - par pays(E.E.E)'!O34</f>
        <v>351790.47665400233</v>
      </c>
      <c r="C75" s="131">
        <f t="shared" si="8"/>
        <v>21</v>
      </c>
      <c r="D75" s="266"/>
    </row>
    <row r="76" spans="1:7" ht="13.5" customHeight="1">
      <c r="A76" s="43" t="s">
        <v>41</v>
      </c>
      <c r="B76" s="53">
        <f>'CNSE - par pays(E.E.E)'!O35</f>
        <v>243337.97000042413</v>
      </c>
      <c r="C76" s="131">
        <f t="shared" si="8"/>
        <v>22</v>
      </c>
    </row>
    <row r="77" spans="1:7" ht="13.5" customHeight="1">
      <c r="A77" s="51" t="s">
        <v>42</v>
      </c>
      <c r="B77" s="53">
        <f>'CNSE - par pays(E.E.E)'!O36</f>
        <v>10110937.025045207</v>
      </c>
      <c r="C77" s="131">
        <f t="shared" si="8"/>
        <v>8</v>
      </c>
    </row>
    <row r="78" spans="1:7">
      <c r="A78" s="43" t="s">
        <v>44</v>
      </c>
      <c r="B78" s="53">
        <f>'CNSE - par pays(E.E.E)'!O37</f>
        <v>5463961.009083122</v>
      </c>
      <c r="C78" s="131">
        <f t="shared" si="8"/>
        <v>11</v>
      </c>
    </row>
    <row r="80" spans="1:7">
      <c r="B80" s="130">
        <f>SUM(B48:B79)</f>
        <v>786871482.70385146</v>
      </c>
    </row>
    <row r="82" spans="1:6">
      <c r="A82" s="211" t="s">
        <v>184</v>
      </c>
    </row>
    <row r="83" spans="1:6" ht="25.5">
      <c r="A83" s="207" t="s">
        <v>181</v>
      </c>
      <c r="B83" s="210" t="s">
        <v>240</v>
      </c>
      <c r="C83" s="210" t="s">
        <v>241</v>
      </c>
      <c r="D83" s="209" t="s">
        <v>182</v>
      </c>
      <c r="E83" s="209" t="s">
        <v>183</v>
      </c>
    </row>
    <row r="84" spans="1:6">
      <c r="A84" s="15" t="str">
        <f>'Histo CNSE -tous pays'!A8</f>
        <v>2007</v>
      </c>
      <c r="B84" s="49">
        <f>'Histo CNSE -tous pays'!H8</f>
        <v>298025802.01999998</v>
      </c>
      <c r="C84" s="49">
        <f>'Histo CNSE -tous pays'!P8</f>
        <v>482622094.93000001</v>
      </c>
      <c r="D84" s="208">
        <f t="shared" ref="D84:D93" si="9">C84-B84</f>
        <v>184596292.91000003</v>
      </c>
      <c r="E84" s="49">
        <f t="shared" ref="E84:E93" si="10">B84+((C84-B84)/2)</f>
        <v>390323948.47500002</v>
      </c>
      <c r="F84" s="49"/>
    </row>
    <row r="85" spans="1:6">
      <c r="A85" s="15" t="str">
        <f>'Histo CNSE -tous pays'!A9</f>
        <v>2008</v>
      </c>
      <c r="B85" s="49">
        <f>'Histo CNSE -tous pays'!H9</f>
        <v>322007047.67000002</v>
      </c>
      <c r="C85" s="49">
        <f>'Histo CNSE -tous pays'!P9</f>
        <v>833659564.67000008</v>
      </c>
      <c r="D85" s="208">
        <f t="shared" si="9"/>
        <v>511652517.00000006</v>
      </c>
      <c r="E85" s="49">
        <f t="shared" si="10"/>
        <v>577833306.17000008</v>
      </c>
      <c r="F85" s="49"/>
    </row>
    <row r="86" spans="1:6">
      <c r="A86" s="15" t="str">
        <f>'Histo CNSE -tous pays'!A10</f>
        <v>2009</v>
      </c>
      <c r="B86" s="49">
        <f>'Histo CNSE -tous pays'!H10</f>
        <v>266672606.02999997</v>
      </c>
      <c r="C86" s="49">
        <f>'Histo CNSE -tous pays'!P10</f>
        <v>819604076.34000003</v>
      </c>
      <c r="D86" s="208">
        <f t="shared" si="9"/>
        <v>552931470.31000006</v>
      </c>
      <c r="E86" s="49">
        <f t="shared" si="10"/>
        <v>543138341.18499994</v>
      </c>
      <c r="F86" s="49"/>
    </row>
    <row r="87" spans="1:6">
      <c r="A87" s="15" t="str">
        <f>'Histo CNSE -tous pays'!A11</f>
        <v>2010</v>
      </c>
      <c r="B87" s="49">
        <f>'Histo CNSE -tous pays'!H11</f>
        <v>395791024.31</v>
      </c>
      <c r="C87" s="49">
        <f>'Histo CNSE -tous pays'!P11</f>
        <v>424337955.43000001</v>
      </c>
      <c r="D87" s="208">
        <f t="shared" si="9"/>
        <v>28546931.120000005</v>
      </c>
      <c r="E87" s="49">
        <f t="shared" si="10"/>
        <v>410064489.87</v>
      </c>
      <c r="F87" s="49"/>
    </row>
    <row r="88" spans="1:6">
      <c r="A88" s="15" t="str">
        <f>'Histo CNSE -tous pays'!A12</f>
        <v>2011</v>
      </c>
      <c r="B88" s="49">
        <f>'Histo CNSE -tous pays'!H12</f>
        <v>317508298.63</v>
      </c>
      <c r="C88" s="49">
        <f>'Histo CNSE -tous pays'!P12</f>
        <v>565480413.81000006</v>
      </c>
      <c r="D88" s="208">
        <f t="shared" si="9"/>
        <v>247972115.18000007</v>
      </c>
      <c r="E88" s="49">
        <f t="shared" si="10"/>
        <v>441494356.22000003</v>
      </c>
      <c r="F88" s="49"/>
    </row>
    <row r="89" spans="1:6">
      <c r="A89" s="15" t="str">
        <f>'Histo CNSE -tous pays'!A13</f>
        <v>2012</v>
      </c>
      <c r="B89" s="49">
        <f>'Histo CNSE -tous pays'!H13</f>
        <v>469798878.87</v>
      </c>
      <c r="C89" s="49">
        <f>'Histo CNSE -tous pays'!P13</f>
        <v>625794168.16999996</v>
      </c>
      <c r="D89" s="208">
        <f t="shared" si="9"/>
        <v>155995289.29999995</v>
      </c>
      <c r="E89" s="49">
        <f t="shared" si="10"/>
        <v>547796523.51999998</v>
      </c>
      <c r="F89" s="49"/>
    </row>
    <row r="90" spans="1:6">
      <c r="A90" s="15" t="str">
        <f>'Histo CNSE -tous pays'!A14</f>
        <v>2013</v>
      </c>
      <c r="B90" s="49">
        <f>'Histo CNSE -tous pays'!H14</f>
        <v>404451802.12</v>
      </c>
      <c r="C90" s="49">
        <f>'Histo CNSE -tous pays'!P14</f>
        <v>990473308.73999989</v>
      </c>
      <c r="D90" s="208">
        <f t="shared" si="9"/>
        <v>586021506.61999989</v>
      </c>
      <c r="E90" s="49">
        <f t="shared" si="10"/>
        <v>697462555.42999995</v>
      </c>
      <c r="F90" s="49"/>
    </row>
    <row r="91" spans="1:6">
      <c r="A91" s="15" t="str">
        <f>'Histo CNSE -tous pays'!A15</f>
        <v>2014</v>
      </c>
      <c r="B91" s="49">
        <f>'Histo CNSE -tous pays'!H15</f>
        <v>681209150.70000005</v>
      </c>
      <c r="C91" s="49">
        <f>'Histo CNSE -tous pays'!P15</f>
        <v>599755143.87000012</v>
      </c>
      <c r="D91" s="208">
        <f t="shared" si="9"/>
        <v>-81454006.829999924</v>
      </c>
      <c r="E91" s="49">
        <f t="shared" si="10"/>
        <v>640482147.28500009</v>
      </c>
      <c r="F91" s="49"/>
    </row>
    <row r="92" spans="1:6">
      <c r="A92" s="15" t="str">
        <f>'Histo CNSE -tous pays'!A16</f>
        <v>2015</v>
      </c>
      <c r="B92" s="49">
        <f>'Histo CNSE -tous pays'!H16</f>
        <v>510762584</v>
      </c>
      <c r="C92" s="49">
        <f>'Histo CNSE -tous pays'!P16</f>
        <v>761903451</v>
      </c>
      <c r="D92" s="208">
        <f t="shared" si="9"/>
        <v>251140867</v>
      </c>
      <c r="E92" s="49">
        <f t="shared" si="10"/>
        <v>636333017.5</v>
      </c>
    </row>
    <row r="93" spans="1:6">
      <c r="A93" s="15" t="str">
        <f>'Histo CNSE -tous pays'!A17</f>
        <v>2016</v>
      </c>
      <c r="B93" s="49">
        <f>'Histo CNSE -tous pays'!H17</f>
        <v>406999688.0911141</v>
      </c>
      <c r="C93" s="49">
        <f>'Histo CNSE -tous pays'!P17</f>
        <v>1049738324.14</v>
      </c>
      <c r="D93" s="208">
        <f t="shared" si="9"/>
        <v>642738636.04888582</v>
      </c>
      <c r="E93" s="49">
        <f t="shared" si="10"/>
        <v>728369006.11555696</v>
      </c>
    </row>
    <row r="94" spans="1:6">
      <c r="A94" s="15"/>
      <c r="D94" s="208"/>
      <c r="E94" s="49"/>
    </row>
    <row r="95" spans="1:6">
      <c r="A95" s="212" t="s">
        <v>83</v>
      </c>
    </row>
    <row r="96" spans="1:6">
      <c r="A96" s="15"/>
    </row>
    <row r="97" spans="1:5">
      <c r="A97" s="15" t="str">
        <f>'Histo CNSE - pays E.E.E'!A15</f>
        <v>2007</v>
      </c>
      <c r="B97" s="49">
        <f>'Histo CNSE - pays E.E.E'!H15</f>
        <v>226531557.68000001</v>
      </c>
      <c r="C97" s="49">
        <f>'Histo CNSE - pays E.E.E'!P15</f>
        <v>469396897.36000001</v>
      </c>
      <c r="D97" s="208">
        <f t="shared" ref="D97:D106" si="11">C97-B97</f>
        <v>242865339.68000001</v>
      </c>
      <c r="E97" s="49">
        <f t="shared" ref="E97:E106" si="12">B97+((C97-B97)/2)</f>
        <v>347964227.51999998</v>
      </c>
    </row>
    <row r="98" spans="1:5">
      <c r="A98" s="15" t="str">
        <f>'Histo CNSE - pays E.E.E'!A16</f>
        <v>2008</v>
      </c>
      <c r="B98" s="49">
        <f>'Histo CNSE - pays E.E.E'!H16</f>
        <v>212865101.44999999</v>
      </c>
      <c r="C98" s="49">
        <f>'Histo CNSE - pays E.E.E'!P16</f>
        <v>806689615.18000007</v>
      </c>
      <c r="D98" s="208">
        <f t="shared" si="11"/>
        <v>593824513.73000002</v>
      </c>
      <c r="E98" s="49">
        <f t="shared" si="12"/>
        <v>509777358.315</v>
      </c>
    </row>
    <row r="99" spans="1:5">
      <c r="A99" s="15" t="str">
        <f>'Histo CNSE - pays E.E.E'!A17</f>
        <v>2009</v>
      </c>
      <c r="B99" s="49">
        <f>'Histo CNSE - pays E.E.E'!H17</f>
        <v>180305946</v>
      </c>
      <c r="C99" s="49">
        <f>'Histo CNSE - pays E.E.E'!P17</f>
        <v>805973216.13999999</v>
      </c>
      <c r="D99" s="208">
        <f t="shared" si="11"/>
        <v>625667270.13999999</v>
      </c>
      <c r="E99" s="49">
        <f t="shared" si="12"/>
        <v>493139581.06999999</v>
      </c>
    </row>
    <row r="100" spans="1:5">
      <c r="A100" s="15" t="str">
        <f>'Histo CNSE - pays E.E.E'!A18</f>
        <v>2010</v>
      </c>
      <c r="B100" s="49">
        <f>'Histo CNSE - pays E.E.E'!H18</f>
        <v>255864874.65000001</v>
      </c>
      <c r="C100" s="49">
        <f>'Histo CNSE - pays E.E.E'!P18</f>
        <v>386125187.96999997</v>
      </c>
      <c r="D100" s="208">
        <f t="shared" si="11"/>
        <v>130260313.31999996</v>
      </c>
      <c r="E100" s="49">
        <f t="shared" si="12"/>
        <v>320995031.31</v>
      </c>
    </row>
    <row r="101" spans="1:5">
      <c r="A101" s="15" t="str">
        <f>'Histo CNSE - pays E.E.E'!A19</f>
        <v>2011</v>
      </c>
      <c r="B101" s="49">
        <f>'Histo CNSE - pays E.E.E'!H19</f>
        <v>216307253.97000003</v>
      </c>
      <c r="C101" s="49">
        <f>'Histo CNSE - pays E.E.E'!P19</f>
        <v>556141757.19000006</v>
      </c>
      <c r="D101" s="208">
        <f t="shared" si="11"/>
        <v>339834503.22000003</v>
      </c>
      <c r="E101" s="49">
        <f t="shared" si="12"/>
        <v>386224505.58000004</v>
      </c>
    </row>
    <row r="102" spans="1:5">
      <c r="A102" s="15" t="str">
        <f>'Histo CNSE - pays E.E.E'!A20</f>
        <v>2012</v>
      </c>
      <c r="B102" s="49">
        <f>'Histo CNSE - pays E.E.E'!H20</f>
        <v>409648172.82999998</v>
      </c>
      <c r="C102" s="49">
        <f>'Histo CNSE - pays E.E.E'!P20</f>
        <v>615019938.02999997</v>
      </c>
      <c r="D102" s="208">
        <f t="shared" si="11"/>
        <v>205371765.19999999</v>
      </c>
      <c r="E102" s="49">
        <f t="shared" si="12"/>
        <v>512334055.42999995</v>
      </c>
    </row>
    <row r="103" spans="1:5">
      <c r="A103" s="15" t="str">
        <f>'Histo CNSE - pays E.E.E'!A21</f>
        <v>2013</v>
      </c>
      <c r="B103" s="49">
        <f>'Histo CNSE - pays E.E.E'!H21</f>
        <v>324665451.60000002</v>
      </c>
      <c r="C103" s="49">
        <f>'Histo CNSE - pays E.E.E'!P21</f>
        <v>984672215.15999997</v>
      </c>
      <c r="D103" s="208">
        <f t="shared" si="11"/>
        <v>660006763.55999994</v>
      </c>
      <c r="E103" s="49">
        <f t="shared" si="12"/>
        <v>654668833.38</v>
      </c>
    </row>
    <row r="104" spans="1:5">
      <c r="A104" s="15" t="str">
        <f>'Histo CNSE - pays E.E.E'!A22</f>
        <v>2014</v>
      </c>
      <c r="B104" s="49">
        <f>'Histo CNSE - pays E.E.E'!H22</f>
        <v>441547445.95000005</v>
      </c>
      <c r="C104" s="49">
        <f>'Histo CNSE - pays E.E.E'!P22</f>
        <v>529700895.50000006</v>
      </c>
      <c r="D104" s="208">
        <f t="shared" si="11"/>
        <v>88153449.550000012</v>
      </c>
      <c r="E104" s="49">
        <f t="shared" si="12"/>
        <v>485624170.72500002</v>
      </c>
    </row>
    <row r="105" spans="1:5">
      <c r="A105" s="15" t="str">
        <f>'Histo CNSE - pays E.E.E'!A23</f>
        <v>2015</v>
      </c>
      <c r="B105" s="49">
        <f>'Histo CNSE - pays E.E.E'!H23</f>
        <v>345823986</v>
      </c>
      <c r="C105" s="49">
        <f>'Histo CNSE - pays E.E.E'!P23</f>
        <v>743080763</v>
      </c>
      <c r="D105" s="208">
        <f t="shared" si="11"/>
        <v>397256777</v>
      </c>
      <c r="E105" s="49">
        <f t="shared" si="12"/>
        <v>544452374.5</v>
      </c>
    </row>
    <row r="106" spans="1:5">
      <c r="A106" s="15" t="str">
        <f>'Histo CNSE - pays E.E.E'!A24</f>
        <v>2016</v>
      </c>
      <c r="B106" s="49">
        <f>'Histo CNSE - pays E.E.E'!H24</f>
        <v>246771098.74614868</v>
      </c>
      <c r="C106" s="49">
        <f>'Histo CNSE - pays E.E.E'!P24</f>
        <v>1033274056.8200001</v>
      </c>
      <c r="D106" s="208">
        <f t="shared" si="11"/>
        <v>786502958.07385135</v>
      </c>
      <c r="E106" s="49">
        <f t="shared" si="12"/>
        <v>640022577.78307438</v>
      </c>
    </row>
    <row r="108" spans="1:5">
      <c r="A108" s="211" t="s">
        <v>185</v>
      </c>
    </row>
    <row r="110" spans="1:5">
      <c r="A110" s="15" t="str">
        <f>'Histo CNSE-pays hors EEE'!A10</f>
        <v>2007</v>
      </c>
      <c r="B110" s="49">
        <f>'Histo CNSE-pays hors EEE'!H10</f>
        <v>71494244.340000004</v>
      </c>
      <c r="C110" s="49">
        <f>'Histo CNSE-pays hors EEE'!P10</f>
        <v>13225197.57</v>
      </c>
      <c r="D110" s="208">
        <f>C110-B110</f>
        <v>-58269046.770000003</v>
      </c>
      <c r="E110" s="49">
        <f>B110+((C110-B110)/2)</f>
        <v>42359720.954999998</v>
      </c>
    </row>
    <row r="111" spans="1:5">
      <c r="A111" s="15" t="str">
        <f>'Histo CNSE-pays hors EEE'!A11</f>
        <v>2008</v>
      </c>
      <c r="B111" s="49">
        <f>'Histo CNSE-pays hors EEE'!H11</f>
        <v>109141946.22</v>
      </c>
      <c r="C111" s="49">
        <f>'Histo CNSE-pays hors EEE'!P11</f>
        <v>26969949.490000002</v>
      </c>
      <c r="D111" s="208">
        <f t="shared" ref="D111:D119" si="13">C111-B111</f>
        <v>-82171996.729999989</v>
      </c>
      <c r="E111" s="49">
        <f t="shared" ref="E111:E119" si="14">B111+((C111-B111)/2)</f>
        <v>68055947.855000004</v>
      </c>
    </row>
    <row r="112" spans="1:5">
      <c r="A112" s="15" t="str">
        <f>'Histo CNSE-pays hors EEE'!A12</f>
        <v>2009</v>
      </c>
      <c r="B112" s="49">
        <f>'Histo CNSE-pays hors EEE'!H12</f>
        <v>86366660.030000001</v>
      </c>
      <c r="C112" s="49">
        <f>'Histo CNSE-pays hors EEE'!P12</f>
        <v>13630860.200000001</v>
      </c>
      <c r="D112" s="208">
        <f t="shared" si="13"/>
        <v>-72735799.829999998</v>
      </c>
      <c r="E112" s="49">
        <f t="shared" si="14"/>
        <v>49998760.115000002</v>
      </c>
    </row>
    <row r="113" spans="1:5">
      <c r="A113" s="15" t="str">
        <f>'Histo CNSE-pays hors EEE'!A13</f>
        <v>2010</v>
      </c>
      <c r="B113" s="49">
        <f>'Histo CNSE-pays hors EEE'!H13</f>
        <v>139926149.66</v>
      </c>
      <c r="C113" s="49">
        <f>'Histo CNSE-pays hors EEE'!P13</f>
        <v>38212767.460000001</v>
      </c>
      <c r="D113" s="208">
        <f t="shared" si="13"/>
        <v>-101713382.19999999</v>
      </c>
      <c r="E113" s="49">
        <f t="shared" si="14"/>
        <v>89069458.560000002</v>
      </c>
    </row>
    <row r="114" spans="1:5">
      <c r="A114" s="15" t="str">
        <f>'Histo CNSE-pays hors EEE'!A14</f>
        <v>2011</v>
      </c>
      <c r="B114" s="49">
        <f>'Histo CNSE-pays hors EEE'!H14</f>
        <v>101201044.66</v>
      </c>
      <c r="C114" s="49">
        <f>'Histo CNSE-pays hors EEE'!P14</f>
        <v>9338656.620000001</v>
      </c>
      <c r="D114" s="208">
        <f t="shared" si="13"/>
        <v>-91862388.039999992</v>
      </c>
      <c r="E114" s="49">
        <f t="shared" si="14"/>
        <v>55269850.640000001</v>
      </c>
    </row>
    <row r="115" spans="1:5">
      <c r="A115" s="15" t="str">
        <f>'Histo CNSE-pays hors EEE'!A15</f>
        <v>2012</v>
      </c>
      <c r="B115" s="49">
        <f>'Histo CNSE-pays hors EEE'!H15</f>
        <v>60150706.039999999</v>
      </c>
      <c r="C115" s="49">
        <f>'Histo CNSE-pays hors EEE'!P15</f>
        <v>10774230.140000001</v>
      </c>
      <c r="D115" s="208">
        <f>C115-B115</f>
        <v>-49376475.899999999</v>
      </c>
      <c r="E115" s="49">
        <f t="shared" si="14"/>
        <v>35462468.090000004</v>
      </c>
    </row>
    <row r="116" spans="1:5">
      <c r="A116" s="15" t="str">
        <f>'Histo CNSE-pays hors EEE'!A16</f>
        <v>2013</v>
      </c>
      <c r="B116" s="49">
        <f>'Histo CNSE-pays hors EEE'!H16</f>
        <v>79786350.520000011</v>
      </c>
      <c r="C116" s="49">
        <f>'Histo CNSE-pays hors EEE'!P16</f>
        <v>5801093.5800000001</v>
      </c>
      <c r="D116" s="208">
        <f t="shared" si="13"/>
        <v>-73985256.940000013</v>
      </c>
      <c r="E116" s="49">
        <f t="shared" si="14"/>
        <v>42793722.050000004</v>
      </c>
    </row>
    <row r="117" spans="1:5">
      <c r="A117" s="15" t="str">
        <f>'Histo CNSE-pays hors EEE'!A17</f>
        <v>2014</v>
      </c>
      <c r="B117" s="49">
        <f>'Histo CNSE-pays hors EEE'!H17</f>
        <v>239661704.75</v>
      </c>
      <c r="C117" s="49">
        <f>'Histo CNSE-pays hors EEE'!P17</f>
        <v>70054248.370000005</v>
      </c>
      <c r="D117" s="208">
        <f t="shared" si="13"/>
        <v>-169607456.38</v>
      </c>
      <c r="E117" s="49">
        <f t="shared" si="14"/>
        <v>154857976.56</v>
      </c>
    </row>
    <row r="118" spans="1:5">
      <c r="A118" s="15" t="str">
        <f>'Histo CNSE-pays hors EEE'!A18</f>
        <v>2015</v>
      </c>
      <c r="B118" s="49">
        <f>'Histo CNSE-pays hors EEE'!H18</f>
        <v>164938598</v>
      </c>
      <c r="C118" s="49">
        <f>'Histo CNSE-pays hors EEE'!P18</f>
        <v>18822688</v>
      </c>
      <c r="D118" s="208">
        <f t="shared" si="13"/>
        <v>-146115910</v>
      </c>
      <c r="E118" s="49">
        <f t="shared" si="14"/>
        <v>91880643</v>
      </c>
    </row>
    <row r="119" spans="1:5">
      <c r="A119" s="15" t="str">
        <f>'Histo CNSE-pays hors EEE'!A19</f>
        <v>2016</v>
      </c>
      <c r="B119" s="49">
        <f>'Histo CNSE-pays hors EEE'!H19</f>
        <v>160228589.34496543</v>
      </c>
      <c r="C119" s="49">
        <f>'Histo CNSE-pays hors EEE'!P19</f>
        <v>16464267.32</v>
      </c>
      <c r="D119" s="208">
        <f t="shared" si="13"/>
        <v>-143764322.02496544</v>
      </c>
      <c r="E119" s="49">
        <f t="shared" si="14"/>
        <v>88346428.33248271</v>
      </c>
    </row>
  </sheetData>
  <mergeCells count="16">
    <mergeCell ref="A9:A13"/>
    <mergeCell ref="B9:G9"/>
    <mergeCell ref="H9:M9"/>
    <mergeCell ref="N9:N13"/>
    <mergeCell ref="B10:C12"/>
    <mergeCell ref="G10:G13"/>
    <mergeCell ref="H10:I12"/>
    <mergeCell ref="M10:M13"/>
    <mergeCell ref="A25:A29"/>
    <mergeCell ref="B25:G25"/>
    <mergeCell ref="H25:M25"/>
    <mergeCell ref="N25:N29"/>
    <mergeCell ref="B26:C28"/>
    <mergeCell ref="G26:G29"/>
    <mergeCell ref="H26:I28"/>
    <mergeCell ref="M26:M29"/>
  </mergeCells>
  <phoneticPr fontId="9" type="noConversion"/>
  <conditionalFormatting sqref="N40 N24">
    <cfRule type="cellIs" dxfId="12" priority="17" stopIfTrue="1" operator="lessThanOrEqual">
      <formula>0.1</formula>
    </cfRule>
    <cfRule type="cellIs" dxfId="11" priority="18" stopIfTrue="1" operator="greaterThan">
      <formula>0.1</formula>
    </cfRule>
  </conditionalFormatting>
  <conditionalFormatting sqref="N30:N39 N14:N23 B48:B78">
    <cfRule type="cellIs" dxfId="10" priority="19" stopIfTrue="1" operator="greaterThan">
      <formula>0.1</formula>
    </cfRule>
    <cfRule type="cellIs" dxfId="9" priority="20" stopIfTrue="1" operator="lessThan">
      <formula>-0.1</formula>
    </cfRule>
  </conditionalFormatting>
  <conditionalFormatting sqref="K47:K59">
    <cfRule type="cellIs" dxfId="8" priority="12" stopIfTrue="1" operator="greaterThan">
      <formula>0.1</formula>
    </cfRule>
    <cfRule type="cellIs" dxfId="7" priority="13" stopIfTrue="1" operator="lessThan">
      <formula>-0.1</formula>
    </cfRule>
    <cfRule type="cellIs" dxfId="6" priority="14" stopIfTrue="1" operator="equal">
      <formula>0</formula>
    </cfRule>
  </conditionalFormatting>
  <conditionalFormatting sqref="C48:C52 C54:C78">
    <cfRule type="cellIs" dxfId="5" priority="195" operator="lessThan">
      <formula>7</formula>
    </cfRule>
    <cfRule type="top10" dxfId="4" priority="194" rank="3"/>
  </conditionalFormatting>
  <conditionalFormatting sqref="C53">
    <cfRule type="top10" dxfId="3" priority="4" rank="3"/>
    <cfRule type="cellIs" dxfId="2" priority="5" operator="lessThan">
      <formula>7</formula>
    </cfRule>
  </conditionalFormatting>
  <conditionalFormatting sqref="L47:L59">
    <cfRule type="top10" dxfId="1" priority="313" bottom="1" rank="1"/>
    <cfRule type="top10" dxfId="0" priority="314" rank="4"/>
  </conditionalFormatting>
  <pageMargins left="0.2" right="0.19" top="0.25" bottom="0.31" header="0.2" footer="0.19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Accueil</vt:lpstr>
      <vt:lpstr>CNSE - tous pays</vt:lpstr>
      <vt:lpstr>Histo CNSE -tous pays</vt:lpstr>
      <vt:lpstr>Histo CNSE - pays E.E.E</vt:lpstr>
      <vt:lpstr>CNSE - par pays(E.E.E)</vt:lpstr>
      <vt:lpstr>Schéma des procédures</vt:lpstr>
      <vt:lpstr>Histo CNSE-pays hors EEE</vt:lpstr>
      <vt:lpstr>CNSE-par pays(Hors EEE)</vt:lpstr>
      <vt:lpstr>SOURCES</vt:lpstr>
    </vt:vector>
  </TitlesOfParts>
  <Company>cleiss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</dc:creator>
  <cp:lastModifiedBy>Clément Porte</cp:lastModifiedBy>
  <cp:lastPrinted>2016-09-30T08:57:07Z</cp:lastPrinted>
  <dcterms:created xsi:type="dcterms:W3CDTF">2009-02-20T10:26:10Z</dcterms:created>
  <dcterms:modified xsi:type="dcterms:W3CDTF">2017-12-12T09:02:35Z</dcterms:modified>
</cp:coreProperties>
</file>